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5.xml" ContentType="application/vnd.openxmlformats-officedocument.spreadsheetml.comments+xml"/>
  <Override PartName="/xl/comments8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Findings" sheetId="2" state="visible" r:id="rId4"/>
    <sheet name="Dashboard" sheetId="3" state="visible" r:id="rId5"/>
    <sheet name="Inputs" sheetId="4" state="visible" r:id="rId6"/>
    <sheet name="Historicals" sheetId="5" state="visible" r:id="rId7"/>
    <sheet name="Calibration" sheetId="6" state="visible" r:id="rId8"/>
    <sheet name="Forecast" sheetId="7" state="visible" r:id="rId9"/>
    <sheet name="Backtest" sheetId="8" state="visible" r:id="rId10"/>
    <sheet name="Sensitivity" sheetId="9" state="visible" r:id="rId11"/>
    <sheet name="Macro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2" authorId="0">
      <text>
        <r>
          <rPr>
            <sz val="10"/>
            <rFont val="Arial"/>
            <family val="2"/>
          </rPr>
          <t xml:space="preserve">Derived: Q2 2025 new units x gross profit per unit (release gives margin only).</t>
        </r>
      </text>
    </comment>
    <comment ref="D13" authorId="0">
      <text>
        <r>
          <rPr>
            <sz val="10"/>
            <rFont val="Arial"/>
            <family val="2"/>
          </rPr>
          <t xml:space="preserve">Derived as total gross profit less other segments (release gives 5.9% margin only).</t>
        </r>
      </text>
    </comment>
    <comment ref="D15" authorId="0">
      <text>
        <r>
          <rPr>
            <sz val="10"/>
            <rFont val="Arial"/>
            <family val="2"/>
          </rPr>
          <t xml:space="preserve">Derived: revenue x reported 57.7% margin.</t>
        </r>
      </text>
    </comment>
    <comment ref="F12" authorId="0">
      <text>
        <r>
          <rPr>
            <sz val="10"/>
            <rFont val="Arial"/>
            <family val="2"/>
          </rPr>
          <t xml:space="preserve">Derived: Q4 2025 new units 97,424 x $2,781 gross profit per unit.</t>
        </r>
      </text>
    </comment>
    <comment ref="F13" authorId="0">
      <text>
        <r>
          <rPr>
            <sz val="10"/>
            <rFont val="Arial"/>
            <family val="2"/>
          </rPr>
          <t xml:space="preserve">Derived as total gross profit less other segments (release gives 4.7% margin).</t>
        </r>
      </text>
    </comment>
    <comment ref="F15" authorId="0">
      <text>
        <r>
          <rPr>
            <sz val="10"/>
            <rFont val="Arial"/>
            <family val="2"/>
          </rPr>
          <t xml:space="preserve">Derived: revenue x reported 57.3% margin.</t>
        </r>
      </text>
    </comment>
    <comment ref="F16" authorId="0">
      <text>
        <r>
          <rPr>
            <sz val="10"/>
            <rFont val="Arial"/>
            <family val="2"/>
          </rPr>
          <t xml:space="preserve">Derived: FY2025 gross profit $5,733.0M less nine-month 2025 gross profit $4,361.5M.</t>
        </r>
      </text>
    </comment>
    <comment ref="F21" authorId="0">
      <text>
        <r>
          <rPr>
            <sz val="10"/>
            <rFont val="Arial"/>
            <family val="2"/>
          </rPr>
          <t xml:space="preserve">Not available from the Q4 2025 release summary used here. Not needed by any formula.</t>
        </r>
      </text>
    </comment>
    <comment ref="F22" authorId="0">
      <text>
        <r>
          <rPr>
            <sz val="10"/>
            <rFont val="Arial"/>
            <family val="2"/>
          </rPr>
          <t xml:space="preserve">Not available from the Q4 2025 release summary used here. Not needed by any formula.</t>
        </r>
      </text>
    </comment>
    <comment ref="F24" authorId="0">
      <text>
        <r>
          <rPr>
            <sz val="10"/>
            <rFont val="Arial"/>
            <family val="2"/>
          </rPr>
          <t xml:space="preserve">Not available from the Q4 2025 release summary used here. Not needed by any formula.</t>
        </r>
      </text>
    </comment>
    <comment ref="F27" authorId="0">
      <text>
        <r>
          <rPr>
            <sz val="10"/>
            <rFont val="Arial"/>
            <family val="2"/>
          </rPr>
          <t xml:space="preserve">Not available from the Q4 2025 release summary used here. Not needed by any formula.</t>
        </r>
      </text>
    </comment>
    <comment ref="F28" authorId="0">
      <text>
        <r>
          <rPr>
            <sz val="10"/>
            <rFont val="Arial"/>
            <family val="2"/>
          </rPr>
          <t xml:space="preserve">Not available from the Q4 2025 release summary used here. Not needed by any formula.</t>
        </r>
      </text>
    </comment>
    <comment ref="H12" authorId="0">
      <text>
        <r>
          <rPr>
            <sz val="10"/>
            <rFont val="Arial"/>
            <family val="2"/>
          </rPr>
          <t xml:space="preserve">Derived: Q2 2026 new units x gross profit per unit.</t>
        </r>
      </text>
    </comment>
    <comment ref="H13" authorId="0">
      <text>
        <r>
          <rPr>
            <sz val="10"/>
            <rFont val="Arial"/>
            <family val="2"/>
          </rPr>
          <t xml:space="preserve">Derived as total gross profit less other segments (release gives 6.1% margin only).</t>
        </r>
      </text>
    </comment>
    <comment ref="H15" authorId="0">
      <text>
        <r>
          <rPr>
            <sz val="10"/>
            <rFont val="Arial"/>
            <family val="2"/>
          </rPr>
          <t xml:space="preserve">Derived: revenue x reported 59.3% margin.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Source: Lithia &amp; Driveway Q4 and full-year 2025 results release (reported year-over-year change).</t>
        </r>
      </text>
    </comment>
    <comment ref="B7" authorId="0">
      <text>
        <r>
          <rPr>
            <sz val="10"/>
            <rFont val="Arial"/>
            <family val="2"/>
          </rPr>
          <t xml:space="preserve">Source: Lithia &amp; Driveway Q4 and full-year 2025 results release (reported year-over-year change).</t>
        </r>
      </text>
    </comment>
    <comment ref="B8" authorId="0">
      <text>
        <r>
          <rPr>
            <sz val="10"/>
            <rFont val="Arial"/>
            <family val="2"/>
          </rPr>
          <t xml:space="preserve">Source: Lithia &amp; Driveway Q4 and full-year 2025 results release (reported year-over-year change).</t>
        </r>
      </text>
    </comment>
    <comment ref="B9" authorId="0">
      <text>
        <r>
          <rPr>
            <sz val="10"/>
            <rFont val="Arial"/>
            <family val="2"/>
          </rPr>
          <t xml:space="preserve">Source: Lithia &amp; Driveway Q4 and full-year 2025 results release (reported year-over-year change).</t>
        </r>
      </text>
    </comment>
  </commentList>
</comments>
</file>

<file path=xl/sharedStrings.xml><?xml version="1.0" encoding="utf-8"?>
<sst xmlns="http://schemas.openxmlformats.org/spreadsheetml/2006/main" count="450" uniqueCount="252">
  <si>
    <t xml:space="preserve">Lithia &amp; Driveway: driver-based revenue and profit forecast</t>
  </si>
  <si>
    <t xml:space="preserve">Built by Brian Truong from public filings and industry data. Last updated November 3, 2026.</t>
  </si>
  <si>
    <t xml:space="preserve">What this model does</t>
  </si>
  <si>
    <t xml:space="preserve">Forecasts Lithia &amp; Driveway (NYSE: LAD) revenue, gross profit and operating income for Q4 2026 through Q4 2027.</t>
  </si>
  <si>
    <t xml:space="preserve">Builds each segment from operating drivers: units x price for vehicles, units x profit per unit for gross profit, growth and margin for aftersales.</t>
  </si>
  <si>
    <t xml:space="preserve">Runs Base, Upside and Downside scenarios side by side, shows sensitivity to per-unit profit, and backtests a simple method against 2026 actuals.</t>
  </si>
  <si>
    <t xml:space="preserve">How to use it</t>
  </si>
  <si>
    <t xml:space="preserve">1. Inputs tab: change the blue cells to test your own assumptions. Cell C4 picks the scenario shown on the Dashboard.</t>
  </si>
  <si>
    <t xml:space="preserve">2. Dashboard tab: key results, scenario comparison and charts update automatically.</t>
  </si>
  <si>
    <t xml:space="preserve">3. Forecast tab: every quarter and segment, all three scenarios. Sensitivity and Backtest tabs show risk and accuracy.</t>
  </si>
  <si>
    <t xml:space="preserve">Tabs</t>
  </si>
  <si>
    <t xml:space="preserve">Findings  |  Dashboard  |  Inputs  |  Forecast  |  Sensitivity  |  Backtest  |  Calibration  |  Historicals  |  Macro</t>
  </si>
  <si>
    <t xml:space="preserve">Color key</t>
  </si>
  <si>
    <t xml:space="preserve">Blue text = hardcoded input (reported data or assumption)  |  Black = formula  |  Green = link to another tab  |  Yellow fill = key assumption</t>
  </si>
  <si>
    <t xml:space="preserve">Data notes</t>
  </si>
  <si>
    <t xml:space="preserve">Lithia combined used retail and wholesale reporting in 2026. 2025 quarters use the restated comparatives from the 2026 releases so periods match.</t>
  </si>
  <si>
    <t xml:space="preserve">A few Q4 2025 and Q2 gross profit figures are derived from reported margins or per-unit values; each is marked with a cell comment on the Historicals tab.</t>
  </si>
  <si>
    <t xml:space="preserve">All data is public. This is an independent analysis for learning and discussion, not investment advice, and is not affiliated with Lithia &amp; Driveway.</t>
  </si>
  <si>
    <t xml:space="preserve">Sources</t>
  </si>
  <si>
    <t xml:space="preserve">Lithia &amp; Driveway Q1, Q2 and Q3 2026 earnings releases (SEC Form 8-K, Exhibit 99):</t>
  </si>
  <si>
    <t xml:space="preserve">https://www.sec.gov/Archives/edgar/data/0001023128/000102312826000031/a2026q1exx99earningsrelease.htm</t>
  </si>
  <si>
    <t xml:space="preserve">https://www.sec.gov/Archives/edgar/data/0001023128/000102312826000047/a2026q2exx99earningsrelease.htm</t>
  </si>
  <si>
    <t xml:space="preserve">https://www.sec.gov/Archives/edgar/data/0001023128/000102312826000057/a2026q3exx99earningsrelease.htm</t>
  </si>
  <si>
    <t xml:space="preserve">Lithia &amp; Driveway Q4 and full-year 2025 results: https://investors.lithiadriveway.com/press-releases/mlhx5dwodygiwog5j1b</t>
  </si>
  <si>
    <t xml:space="preserve">Lithia &amp; Driveway Q4 and full-year 2024 results: https://www.sec.gov/Archives/edgar/data/1023128/000102312825000018/a2024q4exx99earningsrelease.htm</t>
  </si>
  <si>
    <t xml:space="preserve">Cox Automotive new vehicle sales forecast and Manheim index releases (links on the Macro tab).</t>
  </si>
  <si>
    <t xml:space="preserve">Key findings (Base scenario unless noted)</t>
  </si>
  <si>
    <t xml:space="preserve">Each line is a formula, so it updates when you change the Inputs tab.</t>
  </si>
  <si>
    <t xml:space="preserve">1. 2026 is a slow-growth year.</t>
  </si>
  <si>
    <t xml:space="preserve">2. Base case for 2027.</t>
  </si>
  <si>
    <t xml:space="preserve">3. Scenario range.</t>
  </si>
  <si>
    <t xml:space="preserve">4. Per-unit profit is the biggest lever.</t>
  </si>
  <si>
    <t xml:space="preserve">5. Aftersales is the stabilizer.</t>
  </si>
  <si>
    <t xml:space="preserve">6. Forecast accuracy.</t>
  </si>
  <si>
    <t xml:space="preserve">What to watch</t>
  </si>
  <si>
    <t xml:space="preserve">New vehicle GPU each quarter versus the $2,600 Base assumption (the Downside assumes $2,400).</t>
  </si>
  <si>
    <t xml:space="preserve">Manheim used vehicle index and off-lease supply in 2027, which drive used ASP and used units.</t>
  </si>
  <si>
    <t xml:space="preserve">SG&amp;A as % of gross profit: every 1 point is roughly $60M of operating income at FY2027 gross profit levels.</t>
  </si>
  <si>
    <t xml:space="preserve">Lithia &amp; Driveway forecast dashboard</t>
  </si>
  <si>
    <t xml:space="preserve">Key results ($M)</t>
  </si>
  <si>
    <t xml:space="preserve">Selected</t>
  </si>
  <si>
    <t xml:space="preserve">Base</t>
  </si>
  <si>
    <t xml:space="preserve">Upside</t>
  </si>
  <si>
    <t xml:space="preserve">Downside</t>
  </si>
  <si>
    <t xml:space="preserve">FY2026E revenue</t>
  </si>
  <si>
    <t xml:space="preserve">FY2026E gross profit</t>
  </si>
  <si>
    <t xml:space="preserve">FY2026E operating income</t>
  </si>
  <si>
    <t xml:space="preserve">FY2027E revenue</t>
  </si>
  <si>
    <t xml:space="preserve">FY2027E gross profit</t>
  </si>
  <si>
    <t xml:space="preserve">FY2027E operating income</t>
  </si>
  <si>
    <t xml:space="preserve">FY2027E operating margin</t>
  </si>
  <si>
    <t xml:space="preserve">FY2027E revenue growth vs FY2026E</t>
  </si>
  <si>
    <t xml:space="preserve">FY2027E operating income growth vs FY2026E</t>
  </si>
  <si>
    <t xml:space="preserve">Forecast accuracy check (Backtest tab)</t>
  </si>
  <si>
    <t xml:space="preserve">Average error on 2026 total revenue, Method A</t>
  </si>
  <si>
    <t xml:space="preserve">Average error on 2026 total revenue, Method B</t>
  </si>
  <si>
    <t xml:space="preserve">Quarterly gross profit ($M): actual and forecast</t>
  </si>
  <si>
    <t xml:space="preserve">Quarter</t>
  </si>
  <si>
    <t xml:space="preserve">Actual</t>
  </si>
  <si>
    <t xml:space="preserve">Q1 2025</t>
  </si>
  <si>
    <t xml:space="preserve">Q2 2025</t>
  </si>
  <si>
    <t xml:space="preserve">Q3 2025</t>
  </si>
  <si>
    <t xml:space="preserve">Q4 2025</t>
  </si>
  <si>
    <t xml:space="preserve">Q1 2026</t>
  </si>
  <si>
    <t xml:space="preserve">Q2 2026</t>
  </si>
  <si>
    <t xml:space="preserve">Q3 2026</t>
  </si>
  <si>
    <t xml:space="preserve">Q4 2026E</t>
  </si>
  <si>
    <t xml:space="preserve">Q1 2027E</t>
  </si>
  <si>
    <t xml:space="preserve">Q2 2027E</t>
  </si>
  <si>
    <t xml:space="preserve">Q3 2027E</t>
  </si>
  <si>
    <t xml:space="preserve">Q4 2027E</t>
  </si>
  <si>
    <t xml:space="preserve">Scenario assumptions</t>
  </si>
  <si>
    <t xml:space="preserve">Blue cells are assumptions you can change. Growth rates are versus the same quarter a year earlier. Per-unit values apply to every forecast quarter.</t>
  </si>
  <si>
    <t xml:space="preserve">Scenario shown on the Dashboard (1 = Base, 2 = Upside, 3 = Downside)</t>
  </si>
  <si>
    <t xml:space="preserve">Driver</t>
  </si>
  <si>
    <t xml:space="preserve">Unit</t>
  </si>
  <si>
    <t xml:space="preserve">Why (evidence from Historicals and Macro tabs)</t>
  </si>
  <si>
    <t xml:space="preserve">New vehicle unit growth</t>
  </si>
  <si>
    <t xml:space="preserve">% YoY</t>
  </si>
  <si>
    <t xml:space="preserve">Cox forecasts 16.1M US new sales in 2026; Lithia's units were flat over nine months of 2026 (-0.3%). Base assumes small growth from acquisitions.</t>
  </si>
  <si>
    <t xml:space="preserve">New vehicle ASP growth</t>
  </si>
  <si>
    <t xml:space="preserve">% per yr</t>
  </si>
  <si>
    <t xml:space="preserve">New ASP was flat in Q3 2026 ($46,777 vs $46,804).</t>
  </si>
  <si>
    <t xml:space="preserve">New vehicle gross profit per unit</t>
  </si>
  <si>
    <t xml:space="preserve">$</t>
  </si>
  <si>
    <t xml:space="preserve">Fell from $2,793 (Q3 2025) to $2,635 (Q3 2026). Base assumes the decline slows; downside assumes it continues.</t>
  </si>
  <si>
    <t xml:space="preserve">Used retail unit growth</t>
  </si>
  <si>
    <t xml:space="preserve">Used retail units grew 0.2% over nine months of 2026. Cox expects more off-lease supply in 2027.</t>
  </si>
  <si>
    <t xml:space="preserve">Used retail ASP growth</t>
  </si>
  <si>
    <t xml:space="preserve">Manheim index was down 0.6% YoY in September 2026; Cox sees 2026 ending about flat (+0.2%).</t>
  </si>
  <si>
    <t xml:space="preserve">Used retail gross profit per unit</t>
  </si>
  <si>
    <t xml:space="preserve">Ranged $1,688 to $2,014 in 2026; nine-month average $1,889.</t>
  </si>
  <si>
    <t xml:space="preserve">F&amp;I gross profit per unit</t>
  </si>
  <si>
    <t xml:space="preserve">Slipped to $1,733 in Q3 2026 from about $1,808 in Q1 and Q2.</t>
  </si>
  <si>
    <t xml:space="preserve">Aftersales revenue growth</t>
  </si>
  <si>
    <t xml:space="preserve">Grew 6.1%, 3.9% and 4.3% in Q1 to Q3 2026.</t>
  </si>
  <si>
    <t xml:space="preserve">Aftersales gross margin</t>
  </si>
  <si>
    <t xml:space="preserve">%</t>
  </si>
  <si>
    <t xml:space="preserve">Was 58.9% to 59.4% in 2026, up about 140 basis points from 2025.</t>
  </si>
  <si>
    <t xml:space="preserve">SG&amp;A as % of gross profit</t>
  </si>
  <si>
    <t xml:space="preserve">Was 73.0%, 67.8% and 69.3% in Q1 to Q3 2026 (nine months 70.0%).</t>
  </si>
  <si>
    <t xml:space="preserve">Lithia &amp; Driveway: quarterly results by segment</t>
  </si>
  <si>
    <t xml:space="preserve">$ in millions except units and per-unit dollars. Restated basis used in 2026 releases (used vehicle = retail + wholesale). Blue = reported or derived input; black = formula.</t>
  </si>
  <si>
    <t xml:space="preserve">Metric</t>
  </si>
  <si>
    <t xml:space="preserve">Revenue</t>
  </si>
  <si>
    <t xml:space="preserve">Total revenue</t>
  </si>
  <si>
    <t xml:space="preserve">$M</t>
  </si>
  <si>
    <t xml:space="preserve">New vehicle revenue</t>
  </si>
  <si>
    <t xml:space="preserve">Used vehicle revenue</t>
  </si>
  <si>
    <t xml:space="preserve">Finance and insurance revenue</t>
  </si>
  <si>
    <t xml:space="preserve">Aftersales revenue</t>
  </si>
  <si>
    <t xml:space="preserve">Revenue check (segments less total)</t>
  </si>
  <si>
    <t xml:space="preserve">Gross profit</t>
  </si>
  <si>
    <t xml:space="preserve">New vehicle gross profit</t>
  </si>
  <si>
    <t xml:space="preserve">Used vehicle gross profit</t>
  </si>
  <si>
    <t xml:space="preserve">Finance and insurance gross profit</t>
  </si>
  <si>
    <t xml:space="preserve">Aftersales gross profit</t>
  </si>
  <si>
    <t xml:space="preserve">Total gross profit</t>
  </si>
  <si>
    <t xml:space="preserve">Gross profit check (segments less total)</t>
  </si>
  <si>
    <t xml:space="preserve">Volume, price and per-unit profit</t>
  </si>
  <si>
    <t xml:space="preserve">New vehicle units</t>
  </si>
  <si>
    <t xml:space="preserve">units</t>
  </si>
  <si>
    <t xml:space="preserve">Used vehicle retail units</t>
  </si>
  <si>
    <t xml:space="preserve">New vehicle average selling price</t>
  </si>
  <si>
    <t xml:space="preserve">n/a</t>
  </si>
  <si>
    <t xml:space="preserve">Used retail average selling price</t>
  </si>
  <si>
    <t xml:space="preserve">Profitability</t>
  </si>
  <si>
    <t xml:space="preserve">Operating income</t>
  </si>
  <si>
    <t xml:space="preserve">Margins (calculated)</t>
  </si>
  <si>
    <t xml:space="preserve">New vehicle gross margin</t>
  </si>
  <si>
    <t xml:space="preserve">Used vehicle gross margin</t>
  </si>
  <si>
    <t xml:space="preserve">Total gross margin</t>
  </si>
  <si>
    <t xml:space="preserve">Operating margin</t>
  </si>
  <si>
    <t xml:space="preserve">Notes</t>
  </si>
  <si>
    <t xml:space="preserve">Q1 to Q3 2025 figures are the restated comparatives shown in Lithia's 2026 quarterly releases, so 2025 and 2026 use the same segment definitions.</t>
  </si>
  <si>
    <t xml:space="preserve">Q4 2025 figures come from Lithia's Q4 and full-year 2025 release. Gross profit lines marked with a comment are derived from reported margins or per-unit figures.</t>
  </si>
  <si>
    <t xml:space="preserve">F&amp;I revenue equals F&amp;I gross profit (100% margin), so that row is a formula.</t>
  </si>
  <si>
    <t xml:space="preserve">Annual results for 2023 and 2024 below use Lithia's earlier reporting basis and are shown for context only; they do not feed the forecast.</t>
  </si>
  <si>
    <t xml:space="preserve">Annual context (earlier reporting basis)</t>
  </si>
  <si>
    <t xml:space="preserve">FY2023</t>
  </si>
  <si>
    <t xml:space="preserve">FY2024</t>
  </si>
  <si>
    <t xml:space="preserve">FY2025</t>
  </si>
  <si>
    <t xml:space="preserve">Gross margin (calculated)</t>
  </si>
  <si>
    <t xml:space="preserve">Calibration factors</t>
  </si>
  <si>
    <t xml:space="preserve">Ratios that translate units, prices and per-unit profit into reported dollars. Averaged over Q1 to Q3 2026 and used by every forecast quarter.</t>
  </si>
  <si>
    <t xml:space="preserve">Factor</t>
  </si>
  <si>
    <t xml:space="preserve">Average used</t>
  </si>
  <si>
    <t xml:space="preserve">What it captures</t>
  </si>
  <si>
    <t xml:space="preserve">New revenue / (units x ASP)</t>
  </si>
  <si>
    <t xml:space="preserve">Reported ASP excludes agency sales, so units x ASP slightly overstates revenue.</t>
  </si>
  <si>
    <t xml:space="preserve">Used revenue / (retail units x retail ASP)</t>
  </si>
  <si>
    <t xml:space="preserve">Used revenue includes wholesale, so it runs about 12% above retail units x price.</t>
  </si>
  <si>
    <t xml:space="preserve">Used gross profit / (retail units x retail GPU)</t>
  </si>
  <si>
    <t xml:space="preserve">Captures wholesale profit or loss on top of retail.</t>
  </si>
  <si>
    <t xml:space="preserve">F&amp;I revenue / (all retail units x F&amp;I GPU)</t>
  </si>
  <si>
    <t xml:space="preserve">F&amp;I per unit is reported on a slightly different unit base.</t>
  </si>
  <si>
    <t xml:space="preserve">Other operating expense ($M per quarter)</t>
  </si>
  <si>
    <t xml:space="preserve">Depreciation, amortization and other items between gross profit less SG&amp;A and operating income.</t>
  </si>
  <si>
    <t xml:space="preserve">Quarterly forecast by scenario</t>
  </si>
  <si>
    <t xml:space="preserve">Q4 2026 to Q4 2027. Each quarter grows from the same quarter a year earlier; prices grow from the latest actual (Q3 2026). All three scenarios calculate side by side.</t>
  </si>
  <si>
    <t xml:space="preserve">Quarters after Q3 2026</t>
  </si>
  <si>
    <t xml:space="preserve">Base scenario</t>
  </si>
  <si>
    <t xml:space="preserve">FY2027E</t>
  </si>
  <si>
    <t xml:space="preserve">FY2026E</t>
  </si>
  <si>
    <t xml:space="preserve">New vehicle ASP ($)</t>
  </si>
  <si>
    <t xml:space="preserve">New vehicle revenue ($M)</t>
  </si>
  <si>
    <t xml:space="preserve">New vehicle gross profit per unit ($)</t>
  </si>
  <si>
    <t xml:space="preserve">New vehicle gross profit ($M)</t>
  </si>
  <si>
    <t xml:space="preserve">Used retail units</t>
  </si>
  <si>
    <t xml:space="preserve">Used retail ASP ($)</t>
  </si>
  <si>
    <t xml:space="preserve">Used vehicle revenue ($M)</t>
  </si>
  <si>
    <t xml:space="preserve">Used retail gross profit per unit ($)</t>
  </si>
  <si>
    <t xml:space="preserve">Used vehicle gross profit ($M)</t>
  </si>
  <si>
    <t xml:space="preserve">F&amp;I gross profit per unit ($)</t>
  </si>
  <si>
    <t xml:space="preserve">F&amp;I revenue = gross profit ($M)</t>
  </si>
  <si>
    <t xml:space="preserve">Aftersales revenue ($M)</t>
  </si>
  <si>
    <t xml:space="preserve">Aftersales gross profit ($M)</t>
  </si>
  <si>
    <t xml:space="preserve">Total revenue ($M)</t>
  </si>
  <si>
    <t xml:space="preserve">Total gross profit ($M)</t>
  </si>
  <si>
    <t xml:space="preserve">Gross margin</t>
  </si>
  <si>
    <t xml:space="preserve">SG&amp;A ($M)</t>
  </si>
  <si>
    <t xml:space="preserve">Other operating expense ($M)</t>
  </si>
  <si>
    <t xml:space="preserve">Operating income ($M)</t>
  </si>
  <si>
    <t xml:space="preserve">Upside scenario</t>
  </si>
  <si>
    <t xml:space="preserve">Downside scenario</t>
  </si>
  <si>
    <t xml:space="preserve">Q4 2027 grows from the Q4 2026 forecast in the same block, since no Q4 2026 actual exists yet. That is the only place the prior-year reference changes.</t>
  </si>
  <si>
    <t xml:space="preserve">FY2026E = Q1 to Q3 2026 actuals plus the Q4 2026 forecast. FY2027E = sum of Q1 to Q4 2027.</t>
  </si>
  <si>
    <t xml:space="preserve">Unit growth and aftersales growth are versus the same quarter a year earlier, which keeps Lithia's seasonal pattern (weaker Q1, stronger Q2 and Q3).</t>
  </si>
  <si>
    <t xml:space="preserve">Backtest: how well does a simple forecast made at year-end 2025 predict 2026?</t>
  </si>
  <si>
    <t xml:space="preserve">Pretend it's December 31, 2025. Forecast Q1 to Q3 2026 revenue two ways, using only data known then, and compare with what Lithia actually reported.</t>
  </si>
  <si>
    <t xml:space="preserve">Q4 2025 year-over-year growth (known at year-end 2025)</t>
  </si>
  <si>
    <t xml:space="preserve">Segment</t>
  </si>
  <si>
    <t xml:space="preserve">Q4 2025 YoY</t>
  </si>
  <si>
    <t xml:space="preserve">New vehicle</t>
  </si>
  <si>
    <t xml:space="preserve">Used vehicle</t>
  </si>
  <si>
    <t xml:space="preserve">Finance and insurance</t>
  </si>
  <si>
    <t xml:space="preserve">Aftersales</t>
  </si>
  <si>
    <t xml:space="preserve">Method A: same quarter last year x (1 + latest growth rate) ($M)</t>
  </si>
  <si>
    <t xml:space="preserve">Total</t>
  </si>
  <si>
    <t xml:space="preserve">Method B: same quarter last year, no change ($M)</t>
  </si>
  <si>
    <t xml:space="preserve">Actual reported ($M)</t>
  </si>
  <si>
    <t xml:space="preserve">Absolute % error, Method A</t>
  </si>
  <si>
    <t xml:space="preserve">Absolute % error, Method B</t>
  </si>
  <si>
    <t xml:space="preserve">Scorecard</t>
  </si>
  <si>
    <t xml:space="preserve">Measure</t>
  </si>
  <si>
    <t xml:space="preserve">Method A</t>
  </si>
  <si>
    <t xml:space="preserve">Method B</t>
  </si>
  <si>
    <t xml:space="preserve">Average error, segment revenue (MAPE)</t>
  </si>
  <si>
    <t xml:space="preserve">Average error, total revenue (MAPE)</t>
  </si>
  <si>
    <t xml:space="preserve">Better method on total revenue</t>
  </si>
  <si>
    <t xml:space="preserve">Takeaway: Method A wins on total revenue, but Method B wins segment by segment. Segment errors offset in the total, and carrying one quarter's growth forward overshoots when that quarter was unusual (aftersales grew 11.4% in Q4 2025 but about 4 to 6% in 2026).</t>
  </si>
  <si>
    <t xml:space="preserve">That is why the main model uses driver-based scenario ranges instead of one extrapolated growth rate.</t>
  </si>
  <si>
    <t xml:space="preserve">Sensitivity: FY2027 gross profit and operating income (Base scenario)</t>
  </si>
  <si>
    <t xml:space="preserve">How much FY2027 results move if new and used gross profit per unit land above or below the Base assumption. Rows = change in new GPU; columns = change in used GPU.</t>
  </si>
  <si>
    <t xml:space="preserve">Base FY2027 gross profit ($M)</t>
  </si>
  <si>
    <t xml:space="preserve">Base FY2027 new vehicle units</t>
  </si>
  <si>
    <t xml:space="preserve">Base FY2027 used retail units</t>
  </si>
  <si>
    <t xml:space="preserve">Used gross profit factor</t>
  </si>
  <si>
    <t xml:space="preserve">Base SG&amp;A as % of gross profit</t>
  </si>
  <si>
    <t xml:space="preserve">Base FY2027 operating income ($M)</t>
  </si>
  <si>
    <t xml:space="preserve">FY2027 gross profit ($M)</t>
  </si>
  <si>
    <t xml:space="preserve">Change in new GPU ($) ↓  /  change in used GPU ($) →</t>
  </si>
  <si>
    <t xml:space="preserve">FY2027 operating income ($M)</t>
  </si>
  <si>
    <t xml:space="preserve">Because SG&amp;A is modeled as a share of gross profit, each extra dollar of gross profit adds about (1 - SG&amp;A %) to operating income.</t>
  </si>
  <si>
    <t xml:space="preserve">Economic drivers behind the scenarios</t>
  </si>
  <si>
    <t xml:space="preserve">Industry data used to set the ranges on the Inputs tab. Values as reported by the source on the date shown.</t>
  </si>
  <si>
    <t xml:space="preserve">Indicator</t>
  </si>
  <si>
    <t xml:space="preserve">Value</t>
  </si>
  <si>
    <t xml:space="preserve">As of</t>
  </si>
  <si>
    <t xml:space="preserve">What it means for Lithia</t>
  </si>
  <si>
    <t xml:space="preserve">Source</t>
  </si>
  <si>
    <t xml:space="preserve">2026 US new vehicle sales forecast (units, millions)</t>
  </si>
  <si>
    <t xml:space="preserve">Sep 24, 2026</t>
  </si>
  <si>
    <t xml:space="preserve">Industry roughly flat; Lithia's new unit growth depends on acquisitions and share</t>
  </si>
  <si>
    <t xml:space="preserve">Cox Automotive, Q3 2026 new vehicle sales forecast</t>
  </si>
  <si>
    <t xml:space="preserve">September 2026 new vehicle SAAR (millions)</t>
  </si>
  <si>
    <t xml:space="preserve">Down from 16.6M a year earlier: softer demand supports a lower new GPU</t>
  </si>
  <si>
    <t xml:space="preserve">September 2025 new vehicle SAAR (millions)</t>
  </si>
  <si>
    <t xml:space="preserve">Prior-year comparison</t>
  </si>
  <si>
    <t xml:space="preserve">Manheim Used Vehicle Value Index, Sep 2026</t>
  </si>
  <si>
    <t xml:space="preserve">Oct 2026</t>
  </si>
  <si>
    <t xml:space="preserve">Wholesale used prices down 0.6% YoY: limits used ASP growth</t>
  </si>
  <si>
    <t xml:space="preserve">Cox Automotive, Q3 2026 Manheim index release</t>
  </si>
  <si>
    <t xml:space="preserve">Manheim index, change vs Sep 2025</t>
  </si>
  <si>
    <t xml:space="preserve">Used price growth near zero</t>
  </si>
  <si>
    <t xml:space="preserve">Manheim index, expected full-year 2026 change</t>
  </si>
  <si>
    <t xml:space="preserve">Base used ASP growth of about 1% sits slightly above this</t>
  </si>
  <si>
    <t xml:space="preserve">Expected 2027 wholesale volume growth</t>
  </si>
  <si>
    <t xml:space="preserve">More off-lease supply: supports used unit growth in the upside</t>
  </si>
  <si>
    <t xml:space="preserve">Source links</t>
  </si>
  <si>
    <t xml:space="preserve">https://www.coxautoinc.com/press-releases/q3-september-2026-cox-automotive-new-vehicle-sales-forecast-press-release/</t>
  </si>
  <si>
    <t xml:space="preserve">https://www.coxautoinc.com/press-releases/q3-2026-muvvi-press-release/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</si>
</sst>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;\(#,##0.0\);\-"/>
    <numFmt numFmtId="166" formatCode="0.0%;\(0.0%\);\-"/>
    <numFmt numFmtId="167" formatCode="\$#,##0;&quot;($&quot;#,##0\);\-"/>
    <numFmt numFmtId="168" formatCode="#,##0;\(#,##0\);\-"/>
    <numFmt numFmtId="169" formatCode="0.000\x"/>
    <numFmt numFmtId="170" formatCode="0"/>
    <numFmt numFmtId="171" formatCode="&quot;+$&quot;#,##0;&quot;-$&quot;#,##0;\$0"/>
    <numFmt numFmtId="172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EEF2F7"/>
        <bgColor rgb="FFFF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6C8EBF"/>
      <rgbColor rgb="FF1F3A5F"/>
      <rgbColor rgb="FF2E8B57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Quarterly gross profit, actual vs forecast ($M)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Dashboard!B21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1f3a5f"/>
            </a:solidFill>
            <a:ln w="28080">
              <a:solidFill>
                <a:srgbClr val="1f3a5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Dashboard!$A$22:$A$33</c:f>
              <c:strCache>
                <c:ptCount val="12"/>
                <c:pt idx="0">
                  <c:v>Q1 2025</c:v>
                </c:pt>
                <c:pt idx="1">
                  <c:v>Q2 2025</c:v>
                </c:pt>
                <c:pt idx="2">
                  <c:v>Q3 2025</c:v>
                </c:pt>
                <c:pt idx="3">
                  <c:v>Q4 2025</c:v>
                </c:pt>
                <c:pt idx="4">
                  <c:v>Q1 2026</c:v>
                </c:pt>
                <c:pt idx="5">
                  <c:v>Q2 2026</c:v>
                </c:pt>
                <c:pt idx="6">
                  <c:v>Q3 2026</c:v>
                </c:pt>
                <c:pt idx="7">
                  <c:v>Q4 2026E</c:v>
                </c:pt>
                <c:pt idx="8">
                  <c:v>Q1 2027E</c:v>
                </c:pt>
                <c:pt idx="9">
                  <c:v>Q2 2027E</c:v>
                </c:pt>
                <c:pt idx="10">
                  <c:v>Q3 2027E</c:v>
                </c:pt>
                <c:pt idx="11">
                  <c:v>Q4 2027E</c:v>
                </c:pt>
              </c:strCache>
            </c:strRef>
          </c:cat>
          <c:val>
            <c:numRef>
              <c:f>Dashboard!$B$22:$B$33</c:f>
              <c:numCache>
                <c:formatCode>#,##0.0;\(#,##0.0\);\-</c:formatCode>
                <c:ptCount val="12"/>
                <c:pt idx="0">
                  <c:v>1410.4</c:v>
                </c:pt>
                <c:pt idx="1">
                  <c:v>1485.1</c:v>
                </c:pt>
                <c:pt idx="2">
                  <c:v>1466</c:v>
                </c:pt>
                <c:pt idx="3">
                  <c:v>1371.5</c:v>
                </c:pt>
                <c:pt idx="4">
                  <c:v>1421.7</c:v>
                </c:pt>
                <c:pt idx="5">
                  <c:v>1497.4</c:v>
                </c:pt>
                <c:pt idx="6">
                  <c:v>1495.8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Dashboard!C21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6c8ebf"/>
            </a:solidFill>
            <a:ln w="28080">
              <a:solidFill>
                <a:srgbClr val="6c8eb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Dashboard!$A$22:$A$33</c:f>
              <c:strCache>
                <c:ptCount val="12"/>
                <c:pt idx="0">
                  <c:v>Q1 2025</c:v>
                </c:pt>
                <c:pt idx="1">
                  <c:v>Q2 2025</c:v>
                </c:pt>
                <c:pt idx="2">
                  <c:v>Q3 2025</c:v>
                </c:pt>
                <c:pt idx="3">
                  <c:v>Q4 2025</c:v>
                </c:pt>
                <c:pt idx="4">
                  <c:v>Q1 2026</c:v>
                </c:pt>
                <c:pt idx="5">
                  <c:v>Q2 2026</c:v>
                </c:pt>
                <c:pt idx="6">
                  <c:v>Q3 2026</c:v>
                </c:pt>
                <c:pt idx="7">
                  <c:v>Q4 2026E</c:v>
                </c:pt>
                <c:pt idx="8">
                  <c:v>Q1 2027E</c:v>
                </c:pt>
                <c:pt idx="9">
                  <c:v>Q2 2027E</c:v>
                </c:pt>
                <c:pt idx="10">
                  <c:v>Q3 2027E</c:v>
                </c:pt>
                <c:pt idx="11">
                  <c:v>Q4 2027E</c:v>
                </c:pt>
              </c:strCache>
            </c:strRef>
          </c:cat>
          <c:val>
            <c:numRef>
              <c:f>Dashboard!$C$22:$C$33</c:f>
              <c:numCache>
                <c:formatCode>#,##0.0;\(#,##0.0\);\-</c:formatCode>
                <c:ptCount val="12"/>
                <c:pt idx="6">
                  <c:v>1495.8</c:v>
                </c:pt>
                <c:pt idx="7">
                  <c:v>1427.40412909427</c:v>
                </c:pt>
                <c:pt idx="8">
                  <c:v>1458.03695703609</c:v>
                </c:pt>
                <c:pt idx="9">
                  <c:v>1498.99124535229</c:v>
                </c:pt>
                <c:pt idx="10">
                  <c:v>1530.24346819446</c:v>
                </c:pt>
                <c:pt idx="11">
                  <c:v>1467.32547038521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Dashboard!D21</c:f>
              <c:strCache>
                <c:ptCount val="1"/>
                <c:pt idx="0">
                  <c:v>Upside</c:v>
                </c:pt>
              </c:strCache>
            </c:strRef>
          </c:tx>
          <c:spPr>
            <a:solidFill>
              <a:srgbClr val="2e8b57"/>
            </a:solidFill>
            <a:ln w="28080">
              <a:solidFill>
                <a:srgbClr val="2e8b5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Dashboard!$A$22:$A$33</c:f>
              <c:strCache>
                <c:ptCount val="12"/>
                <c:pt idx="0">
                  <c:v>Q1 2025</c:v>
                </c:pt>
                <c:pt idx="1">
                  <c:v>Q2 2025</c:v>
                </c:pt>
                <c:pt idx="2">
                  <c:v>Q3 2025</c:v>
                </c:pt>
                <c:pt idx="3">
                  <c:v>Q4 2025</c:v>
                </c:pt>
                <c:pt idx="4">
                  <c:v>Q1 2026</c:v>
                </c:pt>
                <c:pt idx="5">
                  <c:v>Q2 2026</c:v>
                </c:pt>
                <c:pt idx="6">
                  <c:v>Q3 2026</c:v>
                </c:pt>
                <c:pt idx="7">
                  <c:v>Q4 2026E</c:v>
                </c:pt>
                <c:pt idx="8">
                  <c:v>Q1 2027E</c:v>
                </c:pt>
                <c:pt idx="9">
                  <c:v>Q2 2027E</c:v>
                </c:pt>
                <c:pt idx="10">
                  <c:v>Q3 2027E</c:v>
                </c:pt>
                <c:pt idx="11">
                  <c:v>Q4 2027E</c:v>
                </c:pt>
              </c:strCache>
            </c:strRef>
          </c:cat>
          <c:val>
            <c:numRef>
              <c:f>Dashboard!$D$22:$D$33</c:f>
              <c:numCache>
                <c:formatCode>#,##0.0;\(#,##0.0\);\-</c:formatCode>
                <c:ptCount val="12"/>
                <c:pt idx="6">
                  <c:v>1495.8</c:v>
                </c:pt>
                <c:pt idx="7">
                  <c:v>1512.40512869966</c:v>
                </c:pt>
                <c:pt idx="8">
                  <c:v>1545.05039650371</c:v>
                </c:pt>
                <c:pt idx="9">
                  <c:v>1588.97003831323</c:v>
                </c:pt>
                <c:pt idx="10">
                  <c:v>1622.15069197173</c:v>
                </c:pt>
                <c:pt idx="11">
                  <c:v>1588.75672159031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Dashboard!E21</c:f>
              <c:strCache>
                <c:ptCount val="1"/>
                <c:pt idx="0">
                  <c:v>Downside</c:v>
                </c:pt>
              </c:strCache>
            </c:strRef>
          </c:tx>
          <c:spPr>
            <a:solidFill>
              <a:srgbClr val="c0504d"/>
            </a:solidFill>
            <a:ln w="28080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Dashboard!$A$22:$A$33</c:f>
              <c:strCache>
                <c:ptCount val="12"/>
                <c:pt idx="0">
                  <c:v>Q1 2025</c:v>
                </c:pt>
                <c:pt idx="1">
                  <c:v>Q2 2025</c:v>
                </c:pt>
                <c:pt idx="2">
                  <c:v>Q3 2025</c:v>
                </c:pt>
                <c:pt idx="3">
                  <c:v>Q4 2025</c:v>
                </c:pt>
                <c:pt idx="4">
                  <c:v>Q1 2026</c:v>
                </c:pt>
                <c:pt idx="5">
                  <c:v>Q2 2026</c:v>
                </c:pt>
                <c:pt idx="6">
                  <c:v>Q3 2026</c:v>
                </c:pt>
                <c:pt idx="7">
                  <c:v>Q4 2026E</c:v>
                </c:pt>
                <c:pt idx="8">
                  <c:v>Q1 2027E</c:v>
                </c:pt>
                <c:pt idx="9">
                  <c:v>Q2 2027E</c:v>
                </c:pt>
                <c:pt idx="10">
                  <c:v>Q3 2027E</c:v>
                </c:pt>
                <c:pt idx="11">
                  <c:v>Q4 2027E</c:v>
                </c:pt>
              </c:strCache>
            </c:strRef>
          </c:cat>
          <c:val>
            <c:numRef>
              <c:f>Dashboard!$E$22:$E$33</c:f>
              <c:numCache>
                <c:formatCode>#,##0.0;\(#,##0.0\);\-</c:formatCode>
                <c:ptCount val="12"/>
                <c:pt idx="6">
                  <c:v>1495.8</c:v>
                </c:pt>
                <c:pt idx="7">
                  <c:v>1327.62548326065</c:v>
                </c:pt>
                <c:pt idx="8">
                  <c:v>1356.11168303341</c:v>
                </c:pt>
                <c:pt idx="9">
                  <c:v>1393.45683742536</c:v>
                </c:pt>
                <c:pt idx="10">
                  <c:v>1422.48766999434</c:v>
                </c:pt>
                <c:pt idx="11">
                  <c:v>1318.20870403951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0299905"/>
        <c:axId val="15378556"/>
      </c:lineChart>
      <c:catAx>
        <c:axId val="502999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378556"/>
        <c:crosses val="autoZero"/>
        <c:auto val="1"/>
        <c:lblAlgn val="ctr"/>
        <c:lblOffset val="100"/>
        <c:noMultiLvlLbl val="0"/>
      </c:catAx>
      <c:valAx>
        <c:axId val="15378556"/>
        <c:scaling>
          <c:orientation val="minMax"/>
          <c:min val="1200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;\(#,##0.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29990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FY2027E operating income by scenario ($M)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Dashboard!$C$4:$E$4</c:f>
              <c:strCache>
                <c:ptCount val="3"/>
                <c:pt idx="0">
                  <c:v>Base</c:v>
                </c:pt>
                <c:pt idx="1">
                  <c:v>Upside</c:v>
                </c:pt>
                <c:pt idx="2">
                  <c:v>Downside</c:v>
                </c:pt>
              </c:strCache>
            </c:strRef>
          </c:cat>
          <c:val>
            <c:numRef>
              <c:f>Dashboard!$C$10:$E$10</c:f>
              <c:numCache>
                <c:formatCode>#,##0.0;\(#,##0.0\);\-</c:formatCode>
                <c:ptCount val="3"/>
                <c:pt idx="0">
                  <c:v>1684.68191370009</c:v>
                </c:pt>
                <c:pt idx="1">
                  <c:v>1900.85835072317</c:v>
                </c:pt>
                <c:pt idx="2">
                  <c:v>1430.93361940286</c:v>
                </c:pt>
              </c:numCache>
            </c:numRef>
          </c:val>
        </c:ser>
        <c:gapWidth val="150"/>
        <c:overlap val="0"/>
        <c:axId val="8887920"/>
        <c:axId val="52811318"/>
      </c:barChart>
      <c:catAx>
        <c:axId val="888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811318"/>
        <c:crosses val="autoZero"/>
        <c:auto val="1"/>
        <c:lblAlgn val="ctr"/>
        <c:lblOffset val="100"/>
        <c:noMultiLvlLbl val="0"/>
      </c:catAx>
      <c:valAx>
        <c:axId val="52811318"/>
        <c:scaling>
          <c:orientation val="minMax"/>
        </c:scaling>
        <c:delete val="0"/>
        <c:axPos val="l"/>
        <c:numFmt formatCode="#,##0.0;\(#,##0.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879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131040</xdr:rowOff>
    </xdr:from>
    <xdr:to>
      <xdr:col>16</xdr:col>
      <xdr:colOff>364680</xdr:colOff>
      <xdr:row>18</xdr:row>
      <xdr:rowOff>142560</xdr:rowOff>
    </xdr:to>
    <xdr:graphicFrame>
      <xdr:nvGraphicFramePr>
        <xdr:cNvPr id="0" name="Chart 1"/>
        <xdr:cNvGraphicFramePr/>
      </xdr:nvGraphicFramePr>
      <xdr:xfrm>
        <a:off x="7378200" y="57168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20</xdr:row>
      <xdr:rowOff>131040</xdr:rowOff>
    </xdr:from>
    <xdr:to>
      <xdr:col>16</xdr:col>
      <xdr:colOff>364680</xdr:colOff>
      <xdr:row>33</xdr:row>
      <xdr:rowOff>174240</xdr:rowOff>
    </xdr:to>
    <xdr:graphicFrame>
      <xdr:nvGraphicFramePr>
        <xdr:cNvPr id="1" name="Chart 2"/>
        <xdr:cNvGraphicFramePr/>
      </xdr:nvGraphicFramePr>
      <xdr:xfrm>
        <a:off x="7378200" y="4000680"/>
        <a:ext cx="64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4" t="s">
        <v>13</v>
      </c>
    </row>
    <row r="20" customFormat="false" ht="15" hidden="false" customHeight="false" outlineLevel="0" collapsed="false">
      <c r="A20" s="3" t="s">
        <v>14</v>
      </c>
    </row>
    <row r="21" customFormat="false" ht="15" hidden="false" customHeight="false" outlineLevel="0" collapsed="false">
      <c r="A21" s="4" t="s">
        <v>15</v>
      </c>
    </row>
    <row r="22" customFormat="false" ht="15" hidden="false" customHeight="false" outlineLevel="0" collapsed="false">
      <c r="A22" s="4" t="s">
        <v>16</v>
      </c>
    </row>
    <row r="23" customFormat="false" ht="15" hidden="false" customHeight="false" outlineLevel="0" collapsed="false">
      <c r="A23" s="4" t="s">
        <v>17</v>
      </c>
    </row>
    <row r="25" customFormat="false" ht="15" hidden="false" customHeight="false" outlineLevel="0" collapsed="false">
      <c r="A25" s="3" t="s">
        <v>18</v>
      </c>
    </row>
    <row r="26" customFormat="false" ht="15" hidden="false" customHeight="false" outlineLevel="0" collapsed="false">
      <c r="A26" s="4" t="s">
        <v>19</v>
      </c>
    </row>
    <row r="27" customFormat="false" ht="15" hidden="false" customHeight="false" outlineLevel="0" collapsed="false">
      <c r="A27" s="2" t="s">
        <v>20</v>
      </c>
    </row>
    <row r="28" customFormat="false" ht="15" hidden="false" customHeight="false" outlineLevel="0" collapsed="false">
      <c r="A28" s="2" t="s">
        <v>21</v>
      </c>
    </row>
    <row r="29" customFormat="false" ht="15" hidden="false" customHeight="false" outlineLevel="0" collapsed="false">
      <c r="A29" s="2" t="s">
        <v>22</v>
      </c>
    </row>
    <row r="30" customFormat="false" ht="15" hidden="false" customHeight="false" outlineLevel="0" collapsed="false">
      <c r="A30" s="4" t="s">
        <v>23</v>
      </c>
    </row>
    <row r="31" customFormat="false" ht="15" hidden="false" customHeight="false" outlineLevel="0" collapsed="false">
      <c r="A31" s="4" t="s">
        <v>24</v>
      </c>
    </row>
    <row r="32" customFormat="false" ht="15" hidden="false" customHeight="false" outlineLevel="0" collapsed="false">
      <c r="A32" s="4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9.7" hidden="false" customHeight="false" outlineLevel="0" collapsed="false">
      <c r="A1" s="1" t="s">
        <v>26</v>
      </c>
    </row>
    <row r="2" customFormat="false" ht="15" hidden="false" customHeight="false" outlineLevel="0" collapsed="false">
      <c r="A2" s="2" t="s">
        <v>27</v>
      </c>
    </row>
    <row r="4" customFormat="false" ht="15" hidden="false" customHeight="false" outlineLevel="0" collapsed="false">
      <c r="A4" s="3" t="s">
        <v>28</v>
      </c>
    </row>
    <row r="5" customFormat="false" ht="15" hidden="false" customHeight="false" outlineLevel="0" collapsed="false">
      <c r="A5" s="4" t="str">
        <f aca="false">"FY2026E revenue of $"&amp;TEXT(Forecast!I22/1000,"0.0")&amp;"B is "&amp;TEXT(Forecast!I22/SUM(Historicals!C5:F5)-1,"0.0%")&amp;" above FY2025, and gross profit of $"&amp;TEXT(Forecast!I23/1000,"0.00")&amp;"B is "&amp;TEXT(Forecast!I23/SUM(Historicals!C16:F16)-1,"0.0%")&amp;" higher."</f>
        <v>FY2026E revenue of $38.3B is 1.8% above FY2025, and gross profit of $5.84B is 1.9% higher.</v>
      </c>
    </row>
    <row r="7" customFormat="false" ht="15" hidden="false" customHeight="false" outlineLevel="0" collapsed="false">
      <c r="A7" s="3" t="s">
        <v>29</v>
      </c>
    </row>
    <row r="8" customFormat="false" ht="15" hidden="false" customHeight="false" outlineLevel="0" collapsed="false">
      <c r="A8" s="4" t="str">
        <f aca="false">"FY2027E revenue of $"&amp;TEXT(Forecast!H22/1000,"0.0")&amp;"B ("&amp;TEXT(Dashboard!C12,"+0.0%;-0.0%")&amp;") and operating income of $"&amp;TEXT(Forecast!H27/1000,"0.00")&amp;"B, a "&amp;TEXT(Forecast!H28,"0.0%")&amp;" operating margin."</f>
        <v>FY2027E revenue of $39.0B (+1.9%) and operating income of $1.68B, a 4.3% operating margin.</v>
      </c>
    </row>
    <row r="10" customFormat="false" ht="15" hidden="false" customHeight="false" outlineLevel="0" collapsed="false">
      <c r="A10" s="3" t="s">
        <v>30</v>
      </c>
    </row>
    <row r="11" customFormat="false" ht="15" hidden="false" customHeight="false" outlineLevel="0" collapsed="false">
      <c r="A11" s="4" t="str">
        <f aca="false">"FY2027E operating income ranges from $"&amp;TEXT(Forecast!H79/1000,"0.00")&amp;"B (Downside) to $"&amp;TEXT(Forecast!H53/1000,"0.00")&amp;"B (Upside), a spread of $"&amp;TEXT((Forecast!H53-Forecast!H79),"#,##0")&amp;"M."</f>
        <v>FY2027E operating income ranges from $1.43B (Downside) to $1.90B (Upside), a spread of $470M.</v>
      </c>
    </row>
    <row r="13" customFormat="false" ht="15" hidden="false" customHeight="false" outlineLevel="0" collapsed="false">
      <c r="A13" s="3" t="s">
        <v>31</v>
      </c>
    </row>
    <row r="14" customFormat="false" ht="15" hidden="false" customHeight="false" outlineLevel="0" collapsed="false">
      <c r="A14" s="4" t="str">
        <f aca="false">"Each $100 change in new vehicle gross profit per unit moves FY2027E gross profit by about $"&amp;TEXT(100*Sensitivity!C5/1000000,"0")&amp;"M; each $100 in used moves it by about $"&amp;TEXT(100*Sensitivity!C6*Sensitivity!C7/1000000,"0")&amp;"M. New GPU has fallen from $2,793 to $2,635 in a year."</f>
        <v>Each $100 change in new vehicle gross profit per unit moves FY2027E gross profit by about $41M; each $100 in used moves it by about $43M. New GPU has fallen from $2,793 to $2,635 in a year.</v>
      </c>
    </row>
    <row r="16" customFormat="false" ht="15" hidden="false" customHeight="false" outlineLevel="0" collapsed="false">
      <c r="A16" s="3" t="s">
        <v>32</v>
      </c>
    </row>
    <row r="17" customFormat="false" ht="15" hidden="false" customHeight="false" outlineLevel="0" collapsed="false">
      <c r="A17" s="4" t="str">
        <f aca="false">"Aftersales produced "&amp;TEXT(SUM(Historicals!G15:I15)/SUM(Historicals!G16:I16),"0%")&amp;" of gross profit in the first nine months of 2026 at a steady ~59% margin, which cushions swings in vehicle profit."</f>
        <v>Aftersales produced 43% of gross profit in the first nine months of 2026 at a steady ~59% margin, which cushions swings in vehicle profit.</v>
      </c>
    </row>
    <row r="19" customFormat="false" ht="15" hidden="false" customHeight="false" outlineLevel="0" collapsed="false">
      <c r="A19" s="3" t="s">
        <v>33</v>
      </c>
    </row>
    <row r="20" customFormat="false" ht="15" hidden="false" customHeight="false" outlineLevel="0" collapsed="false">
      <c r="A20" s="4" t="str">
        <f aca="false">"Backtest: a simple year-end-2025 forecast missed 2026 total revenue by "&amp;TEXT(Backtest!B60,"0.0%")&amp;" on average, but segment errors averaged "&amp;TEXT(Backtest!B59,"0.0%")&amp;". Segment errors offset, so segment-level drivers matter."</f>
        <v>Backtest: a simple year-end-2025 forecast missed 2026 total revenue by 1.2% on average, but segment errors averaged 4.4%. Segment errors offset, so segment-level drivers matter.</v>
      </c>
    </row>
    <row r="23" customFormat="false" ht="15" hidden="false" customHeight="false" outlineLevel="0" collapsed="false">
      <c r="A23" s="3" t="s">
        <v>34</v>
      </c>
    </row>
    <row r="24" customFormat="false" ht="15" hidden="false" customHeight="false" outlineLevel="0" collapsed="false">
      <c r="A24" s="4" t="s">
        <v>35</v>
      </c>
    </row>
    <row r="25" customFormat="false" ht="15" hidden="false" customHeight="false" outlineLevel="0" collapsed="false">
      <c r="A25" s="4" t="s">
        <v>36</v>
      </c>
    </row>
    <row r="26" customFormat="false" ht="15" hidden="false" customHeight="false" outlineLevel="0" collapsed="false">
      <c r="A26" s="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3"/>
  </cols>
  <sheetData>
    <row r="1" customFormat="false" ht="19.7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tr">
        <f aca="false">"Scenario shown: "&amp;Inputs!$D$4&amp;"  (change it on the Inputs tab, cell C4)"</f>
        <v>Scenario shown: Base  (change it on the Inputs tab, cell C4)</v>
      </c>
    </row>
    <row r="4" customFormat="false" ht="15" hidden="false" customHeight="false" outlineLevel="0" collapsed="false">
      <c r="A4" s="5" t="s">
        <v>39</v>
      </c>
      <c r="B4" s="6" t="s">
        <v>40</v>
      </c>
      <c r="C4" s="6" t="s">
        <v>41</v>
      </c>
      <c r="D4" s="6" t="s">
        <v>42</v>
      </c>
      <c r="E4" s="6" t="s">
        <v>43</v>
      </c>
    </row>
    <row r="5" customFormat="false" ht="15" hidden="false" customHeight="false" outlineLevel="0" collapsed="false">
      <c r="A5" s="4" t="s">
        <v>44</v>
      </c>
      <c r="B5" s="7" t="n">
        <f aca="false">CHOOSE(Inputs!$C$4,C5,D5,E5)</f>
        <v>38310.8265726549</v>
      </c>
      <c r="C5" s="8" t="n">
        <f aca="false">Forecast!I22</f>
        <v>38310.8265726549</v>
      </c>
      <c r="D5" s="8" t="n">
        <f aca="false">Forecast!I48</f>
        <v>38586.7748837613</v>
      </c>
      <c r="E5" s="8" t="n">
        <f aca="false">Forecast!I74</f>
        <v>37890.9293394733</v>
      </c>
    </row>
    <row r="6" customFormat="false" ht="15" hidden="false" customHeight="false" outlineLevel="0" collapsed="false">
      <c r="A6" s="4" t="s">
        <v>45</v>
      </c>
      <c r="B6" s="7" t="n">
        <f aca="false">CHOOSE(Inputs!$C$4,C6,D6,E6)</f>
        <v>5842.30412909427</v>
      </c>
      <c r="C6" s="8" t="n">
        <f aca="false">Forecast!I23</f>
        <v>5842.30412909427</v>
      </c>
      <c r="D6" s="8" t="n">
        <f aca="false">Forecast!I49</f>
        <v>5927.30512869967</v>
      </c>
      <c r="E6" s="8" t="n">
        <f aca="false">Forecast!I75</f>
        <v>5742.52548326065</v>
      </c>
    </row>
    <row r="7" customFormat="false" ht="15" hidden="false" customHeight="false" outlineLevel="0" collapsed="false">
      <c r="A7" s="4" t="s">
        <v>46</v>
      </c>
      <c r="B7" s="7" t="n">
        <f aca="false">CHOOSE(Inputs!$C$4,C7,D7,E7)</f>
        <v>1606.48448001922</v>
      </c>
      <c r="C7" s="8" t="n">
        <f aca="false">Forecast!I27</f>
        <v>1606.48448001922</v>
      </c>
      <c r="D7" s="8" t="n">
        <f aca="false">Forecast!I53</f>
        <v>1655.52086682739</v>
      </c>
      <c r="E7" s="8" t="n">
        <f aca="false">Forecast!I79</f>
        <v>1549.00059014559</v>
      </c>
    </row>
    <row r="8" customFormat="false" ht="15" hidden="false" customHeight="false" outlineLevel="0" collapsed="false">
      <c r="A8" s="4" t="s">
        <v>47</v>
      </c>
      <c r="B8" s="7" t="n">
        <f aca="false">CHOOSE(Inputs!$C$4,C8,D8,E8)</f>
        <v>39035.510950292</v>
      </c>
      <c r="C8" s="8" t="n">
        <f aca="false">Forecast!H22</f>
        <v>39035.510950292</v>
      </c>
      <c r="D8" s="8" t="n">
        <f aca="false">Forecast!H48</f>
        <v>40798.1003499642</v>
      </c>
      <c r="E8" s="8" t="n">
        <f aca="false">Forecast!H74</f>
        <v>36504.3335308397</v>
      </c>
    </row>
    <row r="9" customFormat="false" ht="15" hidden="false" customHeight="false" outlineLevel="0" collapsed="false">
      <c r="A9" s="4" t="s">
        <v>48</v>
      </c>
      <c r="B9" s="7" t="n">
        <f aca="false">CHOOSE(Inputs!$C$4,C9,D9,E9)</f>
        <v>5954.59714096805</v>
      </c>
      <c r="C9" s="8" t="n">
        <f aca="false">Forecast!H23</f>
        <v>5954.59714096805</v>
      </c>
      <c r="D9" s="8" t="n">
        <f aca="false">Forecast!H49</f>
        <v>6344.92784837898</v>
      </c>
      <c r="E9" s="8" t="n">
        <f aca="false">Forecast!H75</f>
        <v>5490.26489449262</v>
      </c>
    </row>
    <row r="10" customFormat="false" ht="15" hidden="false" customHeight="false" outlineLevel="0" collapsed="false">
      <c r="A10" s="4" t="s">
        <v>49</v>
      </c>
      <c r="B10" s="7" t="n">
        <f aca="false">CHOOSE(Inputs!$C$4,C10,D10,E10)</f>
        <v>1684.68191370009</v>
      </c>
      <c r="C10" s="8" t="n">
        <f aca="false">Forecast!H27</f>
        <v>1684.68191370009</v>
      </c>
      <c r="D10" s="8" t="n">
        <f aca="false">Forecast!H53</f>
        <v>1900.85835072317</v>
      </c>
      <c r="E10" s="8" t="n">
        <f aca="false">Forecast!H79</f>
        <v>1430.93361940286</v>
      </c>
    </row>
    <row r="11" customFormat="false" ht="15" hidden="false" customHeight="false" outlineLevel="0" collapsed="false">
      <c r="A11" s="4" t="s">
        <v>50</v>
      </c>
      <c r="B11" s="9" t="n">
        <f aca="false">CHOOSE(Inputs!$C$4,C11,D11,E11)</f>
        <v>0.0431576754777304</v>
      </c>
      <c r="C11" s="10" t="n">
        <f aca="false">Forecast!H28</f>
        <v>0.0431576754777304</v>
      </c>
      <c r="D11" s="10" t="n">
        <f aca="false">Forecast!H54</f>
        <v>0.0465918347770532</v>
      </c>
      <c r="E11" s="10" t="n">
        <f aca="false">Forecast!H80</f>
        <v>0.0391990068300788</v>
      </c>
    </row>
    <row r="12" customFormat="false" ht="15" hidden="false" customHeight="false" outlineLevel="0" collapsed="false">
      <c r="A12" s="4" t="s">
        <v>51</v>
      </c>
      <c r="B12" s="9" t="n">
        <f aca="false">IFERROR(B8/B5-1,0)</f>
        <v>0.0189159160077839</v>
      </c>
      <c r="C12" s="11" t="n">
        <f aca="false">IFERROR(C8/C5-1,0)</f>
        <v>0.0189159160077839</v>
      </c>
      <c r="D12" s="11" t="n">
        <f aca="false">IFERROR(D8/D5-1,0)</f>
        <v>0.0573078593083851</v>
      </c>
      <c r="E12" s="11" t="n">
        <f aca="false">IFERROR(E8/E5-1,0)</f>
        <v>-0.0365943995780819</v>
      </c>
    </row>
    <row r="13" customFormat="false" ht="15" hidden="false" customHeight="false" outlineLevel="0" collapsed="false">
      <c r="A13" s="4" t="s">
        <v>52</v>
      </c>
      <c r="B13" s="9" t="n">
        <f aca="false">IFERROR(B10/B7-1,0)</f>
        <v>0.0486761214648872</v>
      </c>
      <c r="C13" s="11" t="n">
        <f aca="false">IFERROR(C10/C7-1,0)</f>
        <v>0.0486761214648872</v>
      </c>
      <c r="D13" s="11" t="n">
        <f aca="false">IFERROR(D10/D7-1,0)</f>
        <v>0.148193531601892</v>
      </c>
      <c r="E13" s="11" t="n">
        <f aca="false">IFERROR(E10/E7-1,0)</f>
        <v>-0.0762213852556577</v>
      </c>
    </row>
    <row r="15" customFormat="false" ht="15" hidden="false" customHeight="false" outlineLevel="0" collapsed="false">
      <c r="A15" s="3" t="s">
        <v>53</v>
      </c>
    </row>
    <row r="16" customFormat="false" ht="15" hidden="false" customHeight="false" outlineLevel="0" collapsed="false">
      <c r="A16" s="4" t="s">
        <v>54</v>
      </c>
      <c r="B16" s="10" t="n">
        <f aca="false">Backtest!B60</f>
        <v>0.0115340814585264</v>
      </c>
    </row>
    <row r="17" customFormat="false" ht="15" hidden="false" customHeight="false" outlineLevel="0" collapsed="false">
      <c r="A17" s="4" t="s">
        <v>55</v>
      </c>
      <c r="B17" s="10" t="n">
        <f aca="false">Backtest!C60</f>
        <v>0.0195169283212094</v>
      </c>
    </row>
    <row r="20" customFormat="false" ht="15" hidden="false" customHeight="false" outlineLevel="0" collapsed="false">
      <c r="A20" s="3" t="s">
        <v>56</v>
      </c>
    </row>
    <row r="21" customFormat="false" ht="15" hidden="false" customHeight="false" outlineLevel="0" collapsed="false">
      <c r="A21" s="5" t="s">
        <v>57</v>
      </c>
      <c r="B21" s="6" t="s">
        <v>58</v>
      </c>
      <c r="C21" s="6" t="s">
        <v>41</v>
      </c>
      <c r="D21" s="6" t="s">
        <v>42</v>
      </c>
      <c r="E21" s="6" t="s">
        <v>43</v>
      </c>
    </row>
    <row r="22" customFormat="false" ht="15" hidden="false" customHeight="false" outlineLevel="0" collapsed="false">
      <c r="A22" s="4" t="s">
        <v>59</v>
      </c>
      <c r="B22" s="8" t="n">
        <f aca="false">Historicals!C16</f>
        <v>1410.4</v>
      </c>
    </row>
    <row r="23" customFormat="false" ht="15" hidden="false" customHeight="false" outlineLevel="0" collapsed="false">
      <c r="A23" s="4" t="s">
        <v>60</v>
      </c>
      <c r="B23" s="8" t="n">
        <f aca="false">Historicals!D16</f>
        <v>1485.1</v>
      </c>
    </row>
    <row r="24" customFormat="false" ht="15" hidden="false" customHeight="false" outlineLevel="0" collapsed="false">
      <c r="A24" s="4" t="s">
        <v>61</v>
      </c>
      <c r="B24" s="8" t="n">
        <f aca="false">Historicals!E16</f>
        <v>1466</v>
      </c>
    </row>
    <row r="25" customFormat="false" ht="15" hidden="false" customHeight="false" outlineLevel="0" collapsed="false">
      <c r="A25" s="4" t="s">
        <v>62</v>
      </c>
      <c r="B25" s="8" t="n">
        <f aca="false">Historicals!F16</f>
        <v>1371.5</v>
      </c>
    </row>
    <row r="26" customFormat="false" ht="15" hidden="false" customHeight="false" outlineLevel="0" collapsed="false">
      <c r="A26" s="4" t="s">
        <v>63</v>
      </c>
      <c r="B26" s="8" t="n">
        <f aca="false">Historicals!G16</f>
        <v>1421.7</v>
      </c>
    </row>
    <row r="27" customFormat="false" ht="15" hidden="false" customHeight="false" outlineLevel="0" collapsed="false">
      <c r="A27" s="4" t="s">
        <v>64</v>
      </c>
      <c r="B27" s="8" t="n">
        <f aca="false">Historicals!H16</f>
        <v>1497.4</v>
      </c>
    </row>
    <row r="28" customFormat="false" ht="15" hidden="false" customHeight="false" outlineLevel="0" collapsed="false">
      <c r="A28" s="4" t="s">
        <v>65</v>
      </c>
      <c r="B28" s="8" t="n">
        <f aca="false">Historicals!I16</f>
        <v>1495.8</v>
      </c>
      <c r="C28" s="12" t="n">
        <f aca="false">B28</f>
        <v>1495.8</v>
      </c>
      <c r="D28" s="12" t="n">
        <f aca="false">B28</f>
        <v>1495.8</v>
      </c>
      <c r="E28" s="12" t="n">
        <f aca="false">B28</f>
        <v>1495.8</v>
      </c>
    </row>
    <row r="29" customFormat="false" ht="15" hidden="false" customHeight="false" outlineLevel="0" collapsed="false">
      <c r="A29" s="4" t="s">
        <v>66</v>
      </c>
      <c r="C29" s="8" t="n">
        <f aca="false">Forecast!C23</f>
        <v>1427.40412909427</v>
      </c>
      <c r="D29" s="8" t="n">
        <f aca="false">Forecast!C49</f>
        <v>1512.40512869966</v>
      </c>
      <c r="E29" s="8" t="n">
        <f aca="false">Forecast!C75</f>
        <v>1327.62548326065</v>
      </c>
    </row>
    <row r="30" customFormat="false" ht="15" hidden="false" customHeight="false" outlineLevel="0" collapsed="false">
      <c r="A30" s="4" t="s">
        <v>67</v>
      </c>
      <c r="C30" s="8" t="n">
        <f aca="false">Forecast!D23</f>
        <v>1458.03695703609</v>
      </c>
      <c r="D30" s="8" t="n">
        <f aca="false">Forecast!D49</f>
        <v>1545.05039650371</v>
      </c>
      <c r="E30" s="8" t="n">
        <f aca="false">Forecast!D75</f>
        <v>1356.11168303341</v>
      </c>
    </row>
    <row r="31" customFormat="false" ht="15" hidden="false" customHeight="false" outlineLevel="0" collapsed="false">
      <c r="A31" s="4" t="s">
        <v>68</v>
      </c>
      <c r="C31" s="8" t="n">
        <f aca="false">Forecast!E23</f>
        <v>1498.99124535229</v>
      </c>
      <c r="D31" s="8" t="n">
        <f aca="false">Forecast!E49</f>
        <v>1588.97003831323</v>
      </c>
      <c r="E31" s="8" t="n">
        <f aca="false">Forecast!E75</f>
        <v>1393.45683742536</v>
      </c>
    </row>
    <row r="32" customFormat="false" ht="15" hidden="false" customHeight="false" outlineLevel="0" collapsed="false">
      <c r="A32" s="4" t="s">
        <v>69</v>
      </c>
      <c r="C32" s="8" t="n">
        <f aca="false">Forecast!F23</f>
        <v>1530.24346819446</v>
      </c>
      <c r="D32" s="8" t="n">
        <f aca="false">Forecast!F49</f>
        <v>1622.15069197173</v>
      </c>
      <c r="E32" s="8" t="n">
        <f aca="false">Forecast!F75</f>
        <v>1422.48766999434</v>
      </c>
    </row>
    <row r="33" customFormat="false" ht="15" hidden="false" customHeight="false" outlineLevel="0" collapsed="false">
      <c r="A33" s="4" t="s">
        <v>70</v>
      </c>
      <c r="C33" s="8" t="n">
        <f aca="false">Forecast!G23</f>
        <v>1467.32547038521</v>
      </c>
      <c r="D33" s="8" t="n">
        <f aca="false">Forecast!G49</f>
        <v>1588.75672159031</v>
      </c>
      <c r="E33" s="8" t="n">
        <f aca="false">Forecast!G75</f>
        <v>1318.20870403951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0"/>
    <col collapsed="false" customWidth="true" hidden="false" outlineLevel="0" max="5" min="3" style="0" width="11"/>
    <col collapsed="false" customWidth="true" hidden="false" outlineLevel="0" max="6" min="6" style="0" width="110"/>
  </cols>
  <sheetData>
    <row r="1" customFormat="false" ht="19.7" hidden="false" customHeight="fals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4" customFormat="false" ht="15" hidden="false" customHeight="false" outlineLevel="0" collapsed="false">
      <c r="A4" s="13" t="s">
        <v>73</v>
      </c>
      <c r="C4" s="14" t="n">
        <v>1</v>
      </c>
      <c r="D4" s="13" t="str">
        <f aca="false">CHOOSE($C$4,"Base","Upside","Downside")</f>
        <v>Base</v>
      </c>
    </row>
    <row r="7" customFormat="false" ht="15" hidden="false" customHeight="false" outlineLevel="0" collapsed="false">
      <c r="A7" s="5" t="s">
        <v>74</v>
      </c>
      <c r="B7" s="6" t="s">
        <v>75</v>
      </c>
      <c r="C7" s="6" t="s">
        <v>41</v>
      </c>
      <c r="D7" s="6" t="s">
        <v>42</v>
      </c>
      <c r="E7" s="6" t="s">
        <v>43</v>
      </c>
      <c r="F7" s="6" t="s">
        <v>76</v>
      </c>
    </row>
    <row r="8" customFormat="false" ht="15" hidden="false" customHeight="false" outlineLevel="0" collapsed="false">
      <c r="A8" s="4" t="s">
        <v>77</v>
      </c>
      <c r="B8" s="2" t="s">
        <v>78</v>
      </c>
      <c r="C8" s="15" t="n">
        <v>0.01</v>
      </c>
      <c r="D8" s="16" t="n">
        <v>0.04</v>
      </c>
      <c r="E8" s="16" t="n">
        <v>-0.04</v>
      </c>
      <c r="F8" s="2" t="s">
        <v>79</v>
      </c>
    </row>
    <row r="9" customFormat="false" ht="15" hidden="false" customHeight="false" outlineLevel="0" collapsed="false">
      <c r="A9" s="4" t="s">
        <v>80</v>
      </c>
      <c r="B9" s="2" t="s">
        <v>81</v>
      </c>
      <c r="C9" s="15" t="n">
        <v>0</v>
      </c>
      <c r="D9" s="16" t="n">
        <v>0.015</v>
      </c>
      <c r="E9" s="16" t="n">
        <v>-0.015</v>
      </c>
      <c r="F9" s="2" t="s">
        <v>82</v>
      </c>
    </row>
    <row r="10" customFormat="false" ht="15" hidden="false" customHeight="false" outlineLevel="0" collapsed="false">
      <c r="A10" s="4" t="s">
        <v>83</v>
      </c>
      <c r="B10" s="2" t="s">
        <v>84</v>
      </c>
      <c r="C10" s="17" t="n">
        <v>2600</v>
      </c>
      <c r="D10" s="18" t="n">
        <v>2800</v>
      </c>
      <c r="E10" s="18" t="n">
        <v>2400</v>
      </c>
      <c r="F10" s="2" t="s">
        <v>85</v>
      </c>
    </row>
    <row r="11" customFormat="false" ht="15" hidden="false" customHeight="false" outlineLevel="0" collapsed="false">
      <c r="A11" s="4" t="s">
        <v>86</v>
      </c>
      <c r="B11" s="2" t="s">
        <v>78</v>
      </c>
      <c r="C11" s="15" t="n">
        <v>0.01</v>
      </c>
      <c r="D11" s="16" t="n">
        <v>0.03</v>
      </c>
      <c r="E11" s="16" t="n">
        <v>-0.02</v>
      </c>
      <c r="F11" s="2" t="s">
        <v>87</v>
      </c>
    </row>
    <row r="12" customFormat="false" ht="15" hidden="false" customHeight="false" outlineLevel="0" collapsed="false">
      <c r="A12" s="4" t="s">
        <v>88</v>
      </c>
      <c r="B12" s="2" t="s">
        <v>81</v>
      </c>
      <c r="C12" s="15" t="n">
        <v>0.01</v>
      </c>
      <c r="D12" s="16" t="n">
        <v>0.03</v>
      </c>
      <c r="E12" s="16" t="n">
        <v>-0.02</v>
      </c>
      <c r="F12" s="2" t="s">
        <v>89</v>
      </c>
    </row>
    <row r="13" customFormat="false" ht="15" hidden="false" customHeight="false" outlineLevel="0" collapsed="false">
      <c r="A13" s="4" t="s">
        <v>90</v>
      </c>
      <c r="B13" s="2" t="s">
        <v>84</v>
      </c>
      <c r="C13" s="17" t="n">
        <v>1900</v>
      </c>
      <c r="D13" s="18" t="n">
        <v>2050</v>
      </c>
      <c r="E13" s="18" t="n">
        <v>1750</v>
      </c>
      <c r="F13" s="2" t="s">
        <v>91</v>
      </c>
    </row>
    <row r="14" customFormat="false" ht="15" hidden="false" customHeight="false" outlineLevel="0" collapsed="false">
      <c r="A14" s="4" t="s">
        <v>92</v>
      </c>
      <c r="B14" s="2" t="s">
        <v>84</v>
      </c>
      <c r="C14" s="17" t="n">
        <v>1760</v>
      </c>
      <c r="D14" s="18" t="n">
        <v>1820</v>
      </c>
      <c r="E14" s="18" t="n">
        <v>1700</v>
      </c>
      <c r="F14" s="2" t="s">
        <v>93</v>
      </c>
    </row>
    <row r="15" customFormat="false" ht="15" hidden="false" customHeight="false" outlineLevel="0" collapsed="false">
      <c r="A15" s="4" t="s">
        <v>94</v>
      </c>
      <c r="B15" s="2" t="s">
        <v>78</v>
      </c>
      <c r="C15" s="15" t="n">
        <v>0.05</v>
      </c>
      <c r="D15" s="16" t="n">
        <v>0.07</v>
      </c>
      <c r="E15" s="16" t="n">
        <v>0.02</v>
      </c>
      <c r="F15" s="2" t="s">
        <v>95</v>
      </c>
    </row>
    <row r="16" customFormat="false" ht="15" hidden="false" customHeight="false" outlineLevel="0" collapsed="false">
      <c r="A16" s="4" t="s">
        <v>96</v>
      </c>
      <c r="B16" s="2" t="s">
        <v>97</v>
      </c>
      <c r="C16" s="15" t="n">
        <v>0.59</v>
      </c>
      <c r="D16" s="16" t="n">
        <v>0.595</v>
      </c>
      <c r="E16" s="16" t="n">
        <v>0.585</v>
      </c>
      <c r="F16" s="2" t="s">
        <v>98</v>
      </c>
    </row>
    <row r="17" customFormat="false" ht="15" hidden="false" customHeight="false" outlineLevel="0" collapsed="false">
      <c r="A17" s="4" t="s">
        <v>99</v>
      </c>
      <c r="B17" s="2" t="s">
        <v>97</v>
      </c>
      <c r="C17" s="15" t="n">
        <v>0.69</v>
      </c>
      <c r="D17" s="16" t="n">
        <v>0.675</v>
      </c>
      <c r="E17" s="16" t="n">
        <v>0.71</v>
      </c>
      <c r="F17" s="2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8"/>
    <col collapsed="false" customWidth="true" hidden="false" outlineLevel="0" max="9" min="3" style="0" width="12"/>
  </cols>
  <sheetData>
    <row r="1" customFormat="false" ht="19.7" hidden="false" customHeight="false" outlineLevel="0" collapsed="false">
      <c r="A1" s="1" t="s">
        <v>101</v>
      </c>
    </row>
    <row r="2" customFormat="false" ht="15" hidden="false" customHeight="false" outlineLevel="0" collapsed="false">
      <c r="A2" s="2" t="s">
        <v>102</v>
      </c>
    </row>
    <row r="3" customFormat="false" ht="15" hidden="false" customHeight="false" outlineLevel="0" collapsed="false">
      <c r="A3" s="5" t="s">
        <v>103</v>
      </c>
      <c r="B3" s="6" t="s">
        <v>75</v>
      </c>
      <c r="C3" s="6" t="s">
        <v>59</v>
      </c>
      <c r="D3" s="6" t="s">
        <v>60</v>
      </c>
      <c r="E3" s="6" t="s">
        <v>61</v>
      </c>
      <c r="F3" s="6" t="s">
        <v>62</v>
      </c>
      <c r="G3" s="6" t="s">
        <v>63</v>
      </c>
      <c r="H3" s="6" t="s">
        <v>64</v>
      </c>
      <c r="I3" s="6" t="s">
        <v>65</v>
      </c>
    </row>
    <row r="4" customFormat="false" ht="15" hidden="false" customHeight="false" outlineLevel="0" collapsed="false">
      <c r="A4" s="3" t="s">
        <v>104</v>
      </c>
    </row>
    <row r="5" customFormat="false" ht="15" hidden="false" customHeight="false" outlineLevel="0" collapsed="false">
      <c r="A5" s="4" t="s">
        <v>105</v>
      </c>
      <c r="B5" s="2" t="s">
        <v>106</v>
      </c>
      <c r="C5" s="19" t="n">
        <v>9178.3</v>
      </c>
      <c r="D5" s="19" t="n">
        <v>9583</v>
      </c>
      <c r="E5" s="19" t="n">
        <v>9675.8</v>
      </c>
      <c r="F5" s="19" t="n">
        <v>9197.8</v>
      </c>
      <c r="G5" s="19" t="n">
        <v>9271.4</v>
      </c>
      <c r="H5" s="19" t="n">
        <v>9791.3</v>
      </c>
      <c r="I5" s="19" t="n">
        <v>9946.7</v>
      </c>
    </row>
    <row r="6" customFormat="false" ht="15" hidden="false" customHeight="false" outlineLevel="0" collapsed="false">
      <c r="A6" s="4" t="s">
        <v>107</v>
      </c>
      <c r="B6" s="2" t="s">
        <v>106</v>
      </c>
      <c r="C6" s="19" t="n">
        <v>4580.4</v>
      </c>
      <c r="D6" s="19" t="n">
        <v>4703.5</v>
      </c>
      <c r="E6" s="19" t="n">
        <v>4792.4</v>
      </c>
      <c r="F6" s="19" t="n">
        <v>4626.7</v>
      </c>
      <c r="G6" s="19" t="n">
        <v>4379.4</v>
      </c>
      <c r="H6" s="19" t="n">
        <v>4829.2</v>
      </c>
      <c r="I6" s="19" t="n">
        <v>4868.6</v>
      </c>
    </row>
    <row r="7" customFormat="false" ht="15" hidden="false" customHeight="false" outlineLevel="0" collapsed="false">
      <c r="A7" s="4" t="s">
        <v>108</v>
      </c>
      <c r="B7" s="2" t="s">
        <v>106</v>
      </c>
      <c r="C7" s="19" t="n">
        <v>3250.5</v>
      </c>
      <c r="D7" s="19" t="n">
        <v>3478.3</v>
      </c>
      <c r="E7" s="19" t="n">
        <v>3463.3</v>
      </c>
      <c r="F7" s="19" t="n">
        <v>3179.2</v>
      </c>
      <c r="G7" s="19" t="n">
        <v>3489.4</v>
      </c>
      <c r="H7" s="19" t="n">
        <v>3528.3</v>
      </c>
      <c r="I7" s="19" t="n">
        <v>3630.1</v>
      </c>
    </row>
    <row r="8" customFormat="false" ht="15" hidden="false" customHeight="false" outlineLevel="0" collapsed="false">
      <c r="A8" s="4" t="s">
        <v>109</v>
      </c>
      <c r="B8" s="2" t="s">
        <v>106</v>
      </c>
      <c r="C8" s="19" t="n">
        <v>364.3</v>
      </c>
      <c r="D8" s="19" t="n">
        <v>373.8</v>
      </c>
      <c r="E8" s="19" t="n">
        <v>378.6</v>
      </c>
      <c r="F8" s="19" t="n">
        <v>356.9</v>
      </c>
      <c r="G8" s="19" t="n">
        <v>359.7</v>
      </c>
      <c r="H8" s="19" t="n">
        <v>366.4</v>
      </c>
      <c r="I8" s="19" t="n">
        <v>361.4</v>
      </c>
    </row>
    <row r="9" customFormat="false" ht="15" hidden="false" customHeight="false" outlineLevel="0" collapsed="false">
      <c r="A9" s="4" t="s">
        <v>110</v>
      </c>
      <c r="B9" s="2" t="s">
        <v>106</v>
      </c>
      <c r="C9" s="19" t="n">
        <v>983.1</v>
      </c>
      <c r="D9" s="19" t="n">
        <v>1027.4</v>
      </c>
      <c r="E9" s="19" t="n">
        <v>1041.5</v>
      </c>
      <c r="F9" s="19" t="n">
        <v>1035</v>
      </c>
      <c r="G9" s="19" t="n">
        <v>1042.9</v>
      </c>
      <c r="H9" s="19" t="n">
        <v>1067.4</v>
      </c>
      <c r="I9" s="19" t="n">
        <v>1086.6</v>
      </c>
    </row>
    <row r="10" customFormat="false" ht="15" hidden="false" customHeight="false" outlineLevel="0" collapsed="false">
      <c r="A10" s="4" t="s">
        <v>111</v>
      </c>
      <c r="B10" s="2" t="s">
        <v>106</v>
      </c>
      <c r="C10" s="12" t="n">
        <f aca="false">SUM(C6:C9)-C5</f>
        <v>0</v>
      </c>
      <c r="D10" s="12" t="n">
        <f aca="false">SUM(D6:D9)-D5</f>
        <v>0</v>
      </c>
      <c r="E10" s="12" t="n">
        <f aca="false">SUM(E6:E9)-E5</f>
        <v>0</v>
      </c>
      <c r="F10" s="12" t="n">
        <f aca="false">SUM(F6:F9)-F5</f>
        <v>0</v>
      </c>
      <c r="G10" s="12" t="n">
        <f aca="false">SUM(G6:G9)-G5</f>
        <v>0</v>
      </c>
      <c r="H10" s="12" t="n">
        <f aca="false">SUM(H6:H9)-H5</f>
        <v>0</v>
      </c>
      <c r="I10" s="12" t="n">
        <f aca="false">SUM(I6:I9)-I5</f>
        <v>0</v>
      </c>
    </row>
    <row r="11" customFormat="false" ht="15" hidden="false" customHeight="false" outlineLevel="0" collapsed="false">
      <c r="A11" s="3" t="s">
        <v>112</v>
      </c>
    </row>
    <row r="12" customFormat="false" ht="15" hidden="false" customHeight="false" outlineLevel="0" collapsed="false">
      <c r="A12" s="4" t="s">
        <v>113</v>
      </c>
      <c r="B12" s="2" t="s">
        <v>106</v>
      </c>
      <c r="C12" s="19" t="n">
        <v>293.4</v>
      </c>
      <c r="D12" s="19" t="n">
        <v>313.4</v>
      </c>
      <c r="E12" s="19" t="n">
        <v>291.4</v>
      </c>
      <c r="F12" s="19" t="n">
        <v>270.9</v>
      </c>
      <c r="G12" s="19" t="n">
        <v>259.6</v>
      </c>
      <c r="H12" s="19" t="n">
        <v>284</v>
      </c>
      <c r="I12" s="19" t="n">
        <v>277.9</v>
      </c>
    </row>
    <row r="13" customFormat="false" ht="15" hidden="false" customHeight="false" outlineLevel="0" collapsed="false">
      <c r="A13" s="4" t="s">
        <v>114</v>
      </c>
      <c r="B13" s="2" t="s">
        <v>106</v>
      </c>
      <c r="C13" s="19" t="n">
        <v>188.7</v>
      </c>
      <c r="D13" s="19" t="n">
        <v>205.1</v>
      </c>
      <c r="E13" s="19" t="n">
        <v>188.9</v>
      </c>
      <c r="F13" s="19" t="n">
        <v>150.6</v>
      </c>
      <c r="G13" s="19" t="n">
        <v>187.7</v>
      </c>
      <c r="H13" s="19" t="n">
        <v>214</v>
      </c>
      <c r="I13" s="19" t="n">
        <v>210.9</v>
      </c>
    </row>
    <row r="14" customFormat="false" ht="15" hidden="false" customHeight="false" outlineLevel="0" collapsed="false">
      <c r="A14" s="4" t="s">
        <v>115</v>
      </c>
      <c r="B14" s="2" t="s">
        <v>106</v>
      </c>
      <c r="C14" s="12" t="n">
        <f aca="false">C8</f>
        <v>364.3</v>
      </c>
      <c r="D14" s="12" t="n">
        <f aca="false">D8</f>
        <v>373.8</v>
      </c>
      <c r="E14" s="12" t="n">
        <f aca="false">E8</f>
        <v>378.6</v>
      </c>
      <c r="F14" s="12" t="n">
        <f aca="false">F8</f>
        <v>356.9</v>
      </c>
      <c r="G14" s="12" t="n">
        <f aca="false">G8</f>
        <v>359.7</v>
      </c>
      <c r="H14" s="12" t="n">
        <f aca="false">H8</f>
        <v>366.4</v>
      </c>
      <c r="I14" s="12" t="n">
        <f aca="false">I8</f>
        <v>361.4</v>
      </c>
    </row>
    <row r="15" customFormat="false" ht="15" hidden="false" customHeight="false" outlineLevel="0" collapsed="false">
      <c r="A15" s="4" t="s">
        <v>116</v>
      </c>
      <c r="B15" s="2" t="s">
        <v>106</v>
      </c>
      <c r="C15" s="19" t="n">
        <v>564</v>
      </c>
      <c r="D15" s="19" t="n">
        <v>592.8</v>
      </c>
      <c r="E15" s="19" t="n">
        <v>607.1</v>
      </c>
      <c r="F15" s="19" t="n">
        <v>593.1</v>
      </c>
      <c r="G15" s="19" t="n">
        <v>614.7</v>
      </c>
      <c r="H15" s="19" t="n">
        <v>633</v>
      </c>
      <c r="I15" s="19" t="n">
        <v>645.6</v>
      </c>
    </row>
    <row r="16" customFormat="false" ht="15" hidden="false" customHeight="false" outlineLevel="0" collapsed="false">
      <c r="A16" s="4" t="s">
        <v>117</v>
      </c>
      <c r="B16" s="2" t="s">
        <v>106</v>
      </c>
      <c r="C16" s="19" t="n">
        <v>1410.4</v>
      </c>
      <c r="D16" s="19" t="n">
        <v>1485.1</v>
      </c>
      <c r="E16" s="19" t="n">
        <v>1466</v>
      </c>
      <c r="F16" s="19" t="n">
        <v>1371.5</v>
      </c>
      <c r="G16" s="19" t="n">
        <v>1421.7</v>
      </c>
      <c r="H16" s="19" t="n">
        <v>1497.4</v>
      </c>
      <c r="I16" s="19" t="n">
        <v>1495.8</v>
      </c>
    </row>
    <row r="17" customFormat="false" ht="15" hidden="false" customHeight="false" outlineLevel="0" collapsed="false">
      <c r="A17" s="4" t="s">
        <v>118</v>
      </c>
      <c r="B17" s="2" t="s">
        <v>106</v>
      </c>
      <c r="C17" s="12" t="n">
        <f aca="false">SUM(C12:C15)-C16</f>
        <v>0</v>
      </c>
      <c r="D17" s="12" t="n">
        <f aca="false">SUM(D12:D15)-D16</f>
        <v>0</v>
      </c>
      <c r="E17" s="12" t="n">
        <f aca="false">SUM(E12:E15)-E16</f>
        <v>0</v>
      </c>
      <c r="F17" s="12" t="n">
        <f aca="false">SUM(F12:F15)-F16</f>
        <v>0</v>
      </c>
      <c r="G17" s="12" t="n">
        <f aca="false">SUM(G12:G15)-G16</f>
        <v>0</v>
      </c>
      <c r="H17" s="12" t="n">
        <f aca="false">SUM(H12:H15)-H16</f>
        <v>0</v>
      </c>
      <c r="I17" s="12" t="n">
        <f aca="false">SUM(I12:I15)-I16</f>
        <v>0</v>
      </c>
    </row>
    <row r="18" customFormat="false" ht="15" hidden="false" customHeight="false" outlineLevel="0" collapsed="false">
      <c r="A18" s="3" t="s">
        <v>119</v>
      </c>
    </row>
    <row r="19" customFormat="false" ht="15" hidden="false" customHeight="false" outlineLevel="0" collapsed="false">
      <c r="A19" s="4" t="s">
        <v>120</v>
      </c>
      <c r="B19" s="2" t="s">
        <v>121</v>
      </c>
      <c r="C19" s="20" t="n">
        <v>99503</v>
      </c>
      <c r="D19" s="20" t="n">
        <v>101316</v>
      </c>
      <c r="E19" s="20" t="n">
        <v>104332</v>
      </c>
      <c r="F19" s="20" t="n">
        <v>97424</v>
      </c>
      <c r="G19" s="20" t="n">
        <v>94787</v>
      </c>
      <c r="H19" s="20" t="n">
        <v>104089</v>
      </c>
      <c r="I19" s="20" t="n">
        <v>105471</v>
      </c>
    </row>
    <row r="20" customFormat="false" ht="15" hidden="false" customHeight="false" outlineLevel="0" collapsed="false">
      <c r="A20" s="4" t="s">
        <v>122</v>
      </c>
      <c r="B20" s="2" t="s">
        <v>121</v>
      </c>
      <c r="C20" s="20" t="n">
        <v>107326</v>
      </c>
      <c r="D20" s="20" t="n">
        <v>109053</v>
      </c>
      <c r="E20" s="20" t="n">
        <v>109097</v>
      </c>
      <c r="F20" s="20" t="n">
        <v>99905</v>
      </c>
      <c r="G20" s="20" t="n">
        <v>110151</v>
      </c>
      <c r="H20" s="20" t="n">
        <v>106114</v>
      </c>
      <c r="I20" s="20" t="n">
        <v>109791</v>
      </c>
    </row>
    <row r="21" customFormat="false" ht="15" hidden="false" customHeight="false" outlineLevel="0" collapsed="false">
      <c r="A21" s="4" t="s">
        <v>123</v>
      </c>
      <c r="B21" s="2" t="s">
        <v>84</v>
      </c>
      <c r="C21" s="21" t="n">
        <v>47209</v>
      </c>
      <c r="D21" s="21" t="n">
        <v>47494</v>
      </c>
      <c r="E21" s="21" t="n">
        <v>46804</v>
      </c>
      <c r="F21" s="22" t="s">
        <v>124</v>
      </c>
      <c r="G21" s="21" t="n">
        <v>46878</v>
      </c>
      <c r="H21" s="21" t="n">
        <v>47156</v>
      </c>
      <c r="I21" s="21" t="n">
        <v>46777</v>
      </c>
    </row>
    <row r="22" customFormat="false" ht="15" hidden="false" customHeight="false" outlineLevel="0" collapsed="false">
      <c r="A22" s="4" t="s">
        <v>125</v>
      </c>
      <c r="B22" s="2" t="s">
        <v>84</v>
      </c>
      <c r="C22" s="21" t="n">
        <v>27198</v>
      </c>
      <c r="D22" s="21" t="n">
        <v>28379</v>
      </c>
      <c r="E22" s="21" t="n">
        <v>28381</v>
      </c>
      <c r="F22" s="22" t="s">
        <v>124</v>
      </c>
      <c r="G22" s="21" t="n">
        <v>28464</v>
      </c>
      <c r="H22" s="21" t="n">
        <v>29593</v>
      </c>
      <c r="I22" s="21" t="n">
        <v>29499</v>
      </c>
    </row>
    <row r="23" customFormat="false" ht="15" hidden="false" customHeight="false" outlineLevel="0" collapsed="false">
      <c r="A23" s="4" t="s">
        <v>83</v>
      </c>
      <c r="B23" s="2" t="s">
        <v>84</v>
      </c>
      <c r="C23" s="21" t="n">
        <v>2950</v>
      </c>
      <c r="D23" s="21" t="n">
        <v>3093</v>
      </c>
      <c r="E23" s="21" t="n">
        <v>2793</v>
      </c>
      <c r="F23" s="21" t="n">
        <v>2781</v>
      </c>
      <c r="G23" s="21" t="n">
        <v>2739</v>
      </c>
      <c r="H23" s="21" t="n">
        <v>2728</v>
      </c>
      <c r="I23" s="21" t="n">
        <v>2635</v>
      </c>
    </row>
    <row r="24" customFormat="false" ht="15" hidden="false" customHeight="false" outlineLevel="0" collapsed="false">
      <c r="A24" s="4" t="s">
        <v>90</v>
      </c>
      <c r="B24" s="2" t="s">
        <v>84</v>
      </c>
      <c r="C24" s="21" t="n">
        <v>1769</v>
      </c>
      <c r="D24" s="21" t="n">
        <v>1911</v>
      </c>
      <c r="E24" s="21" t="n">
        <v>1773</v>
      </c>
      <c r="F24" s="22" t="s">
        <v>124</v>
      </c>
      <c r="G24" s="21" t="n">
        <v>1688</v>
      </c>
      <c r="H24" s="21" t="n">
        <v>2014</v>
      </c>
      <c r="I24" s="21" t="n">
        <v>1970</v>
      </c>
    </row>
    <row r="25" customFormat="false" ht="15" hidden="false" customHeight="false" outlineLevel="0" collapsed="false">
      <c r="A25" s="4" t="s">
        <v>92</v>
      </c>
      <c r="B25" s="2" t="s">
        <v>84</v>
      </c>
      <c r="C25" s="21" t="n">
        <v>1804</v>
      </c>
      <c r="D25" s="21" t="n">
        <v>1819</v>
      </c>
      <c r="E25" s="21" t="n">
        <v>1818</v>
      </c>
      <c r="F25" s="21" t="n">
        <v>1869</v>
      </c>
      <c r="G25" s="21" t="n">
        <v>1807</v>
      </c>
      <c r="H25" s="21" t="n">
        <v>1808</v>
      </c>
      <c r="I25" s="21" t="n">
        <v>1733</v>
      </c>
    </row>
    <row r="26" customFormat="false" ht="15" hidden="false" customHeight="false" outlineLevel="0" collapsed="false">
      <c r="A26" s="3" t="s">
        <v>126</v>
      </c>
    </row>
    <row r="27" customFormat="false" ht="15" hidden="false" customHeight="false" outlineLevel="0" collapsed="false">
      <c r="A27" s="4" t="s">
        <v>99</v>
      </c>
      <c r="B27" s="2" t="s">
        <v>97</v>
      </c>
      <c r="C27" s="23" t="n">
        <v>0.675</v>
      </c>
      <c r="D27" s="23" t="n">
        <v>0.683</v>
      </c>
      <c r="E27" s="23" t="n">
        <v>0.681</v>
      </c>
      <c r="F27" s="22" t="s">
        <v>124</v>
      </c>
      <c r="G27" s="23" t="n">
        <v>0.73</v>
      </c>
      <c r="H27" s="23" t="n">
        <v>0.678</v>
      </c>
      <c r="I27" s="23" t="n">
        <v>0.693</v>
      </c>
    </row>
    <row r="28" customFormat="false" ht="15" hidden="false" customHeight="false" outlineLevel="0" collapsed="false">
      <c r="A28" s="4" t="s">
        <v>127</v>
      </c>
      <c r="B28" s="2" t="s">
        <v>106</v>
      </c>
      <c r="C28" s="19" t="n">
        <v>406.3</v>
      </c>
      <c r="D28" s="19" t="n">
        <v>425.3</v>
      </c>
      <c r="E28" s="19" t="n">
        <v>421.6</v>
      </c>
      <c r="F28" s="22" t="s">
        <v>124</v>
      </c>
      <c r="G28" s="19" t="n">
        <v>335.8</v>
      </c>
      <c r="H28" s="19" t="n">
        <v>448.3</v>
      </c>
      <c r="I28" s="19" t="n">
        <v>420.2</v>
      </c>
    </row>
    <row r="29" customFormat="false" ht="15" hidden="false" customHeight="false" outlineLevel="0" collapsed="false">
      <c r="A29" s="3" t="s">
        <v>128</v>
      </c>
    </row>
    <row r="30" customFormat="false" ht="15" hidden="false" customHeight="false" outlineLevel="0" collapsed="false">
      <c r="A30" s="4" t="s">
        <v>129</v>
      </c>
      <c r="B30" s="2" t="s">
        <v>97</v>
      </c>
      <c r="C30" s="11" t="n">
        <f aca="false">IFERROR(C12/C6,0)</f>
        <v>0.064055541000786</v>
      </c>
      <c r="D30" s="11" t="n">
        <f aca="false">IFERROR(D12/D6,0)</f>
        <v>0.066631232061231</v>
      </c>
      <c r="E30" s="11" t="n">
        <f aca="false">IFERROR(E12/E6,0)</f>
        <v>0.0608046072948836</v>
      </c>
      <c r="F30" s="11" t="n">
        <f aca="false">IFERROR(F12/F6,0)</f>
        <v>0.0585514513584196</v>
      </c>
      <c r="G30" s="11" t="n">
        <f aca="false">IFERROR(G12/G6,0)</f>
        <v>0.0592775266018176</v>
      </c>
      <c r="H30" s="11" t="n">
        <f aca="false">IFERROR(H12/H6,0)</f>
        <v>0.058808912449267</v>
      </c>
      <c r="I30" s="11" t="n">
        <f aca="false">IFERROR(I12/I6,0)</f>
        <v>0.057080064084131</v>
      </c>
    </row>
    <row r="31" customFormat="false" ht="15" hidden="false" customHeight="false" outlineLevel="0" collapsed="false">
      <c r="A31" s="4" t="s">
        <v>130</v>
      </c>
      <c r="B31" s="2" t="s">
        <v>97</v>
      </c>
      <c r="C31" s="11" t="n">
        <f aca="false">IFERROR(C13/C7,0)</f>
        <v>0.058052607291186</v>
      </c>
      <c r="D31" s="11" t="n">
        <f aca="false">IFERROR(D13/D7,0)</f>
        <v>0.0589655866371503</v>
      </c>
      <c r="E31" s="11" t="n">
        <f aca="false">IFERROR(E13/E7,0)</f>
        <v>0.0545433546039904</v>
      </c>
      <c r="F31" s="11" t="n">
        <f aca="false">IFERROR(F13/F7,0)</f>
        <v>0.0473704076497232</v>
      </c>
      <c r="G31" s="11" t="n">
        <f aca="false">IFERROR(G13/G7,0)</f>
        <v>0.0537914827764086</v>
      </c>
      <c r="H31" s="11" t="n">
        <f aca="false">IFERROR(H13/H7,0)</f>
        <v>0.0606524388515716</v>
      </c>
      <c r="I31" s="11" t="n">
        <f aca="false">IFERROR(I13/I7,0)</f>
        <v>0.0580975730696124</v>
      </c>
    </row>
    <row r="32" customFormat="false" ht="15" hidden="false" customHeight="false" outlineLevel="0" collapsed="false">
      <c r="A32" s="4" t="s">
        <v>96</v>
      </c>
      <c r="B32" s="2" t="s">
        <v>97</v>
      </c>
      <c r="C32" s="11" t="n">
        <f aca="false">IFERROR(C15/C9,0)</f>
        <v>0.573695453158377</v>
      </c>
      <c r="D32" s="11" t="n">
        <f aca="false">IFERROR(D15/D9,0)</f>
        <v>0.57699046135877</v>
      </c>
      <c r="E32" s="11" t="n">
        <f aca="false">IFERROR(E15/E9,0)</f>
        <v>0.582909265482477</v>
      </c>
      <c r="F32" s="11" t="n">
        <f aca="false">IFERROR(F15/F9,0)</f>
        <v>0.57304347826087</v>
      </c>
      <c r="G32" s="11" t="n">
        <f aca="false">IFERROR(G15/G9,0)</f>
        <v>0.58941413366574</v>
      </c>
      <c r="H32" s="11" t="n">
        <f aca="false">IFERROR(H15/H9,0)</f>
        <v>0.593029792017988</v>
      </c>
      <c r="I32" s="11" t="n">
        <f aca="false">IFERROR(I15/I9,0)</f>
        <v>0.594146880176698</v>
      </c>
    </row>
    <row r="33" customFormat="false" ht="15" hidden="false" customHeight="false" outlineLevel="0" collapsed="false">
      <c r="A33" s="4" t="s">
        <v>131</v>
      </c>
      <c r="B33" s="2" t="s">
        <v>97</v>
      </c>
      <c r="C33" s="11" t="n">
        <f aca="false">IFERROR(C16/C5,0)</f>
        <v>0.153666801041587</v>
      </c>
      <c r="D33" s="11" t="n">
        <f aca="false">IFERROR(D16/D5,0)</f>
        <v>0.154972346864239</v>
      </c>
      <c r="E33" s="11" t="n">
        <f aca="false">IFERROR(E16/E5,0)</f>
        <v>0.151512019677959</v>
      </c>
      <c r="F33" s="11" t="n">
        <f aca="false">IFERROR(F16/F5,0)</f>
        <v>0.149111744112723</v>
      </c>
      <c r="G33" s="11" t="n">
        <f aca="false">IFERROR(G16/G5,0)</f>
        <v>0.153342537265138</v>
      </c>
      <c r="H33" s="11" t="n">
        <f aca="false">IFERROR(H16/H5,0)</f>
        <v>0.152931684250304</v>
      </c>
      <c r="I33" s="11" t="n">
        <f aca="false">IFERROR(I16/I5,0)</f>
        <v>0.150381533573949</v>
      </c>
    </row>
    <row r="34" customFormat="false" ht="15" hidden="false" customHeight="false" outlineLevel="0" collapsed="false">
      <c r="A34" s="4" t="s">
        <v>132</v>
      </c>
      <c r="B34" s="2" t="s">
        <v>97</v>
      </c>
      <c r="C34" s="11" t="n">
        <f aca="false">IFERROR(C28/C5,0)</f>
        <v>0.0442674569364697</v>
      </c>
      <c r="D34" s="11" t="n">
        <f aca="false">IFERROR(D28/D5,0)</f>
        <v>0.0443806741104038</v>
      </c>
      <c r="E34" s="11" t="n">
        <f aca="false">IFERROR(E28/E5,0)</f>
        <v>0.0435726244858306</v>
      </c>
      <c r="F34" s="22" t="s">
        <v>124</v>
      </c>
      <c r="G34" s="11" t="n">
        <f aca="false">IFERROR(G28/G5,0)</f>
        <v>0.0362189097655155</v>
      </c>
      <c r="H34" s="11" t="n">
        <f aca="false">IFERROR(H28/H5,0)</f>
        <v>0.0457855443097444</v>
      </c>
      <c r="I34" s="11" t="n">
        <f aca="false">IFERROR(I28/I5,0)</f>
        <v>0.0422451667387174</v>
      </c>
    </row>
    <row r="36" customFormat="false" ht="15" hidden="false" customHeight="false" outlineLevel="0" collapsed="false">
      <c r="A36" s="3" t="s">
        <v>133</v>
      </c>
    </row>
    <row r="37" customFormat="false" ht="15" hidden="false" customHeight="false" outlineLevel="0" collapsed="false">
      <c r="A37" s="2" t="s">
        <v>134</v>
      </c>
    </row>
    <row r="38" customFormat="false" ht="15" hidden="false" customHeight="false" outlineLevel="0" collapsed="false">
      <c r="A38" s="2" t="s">
        <v>135</v>
      </c>
    </row>
    <row r="39" customFormat="false" ht="15" hidden="false" customHeight="false" outlineLevel="0" collapsed="false">
      <c r="A39" s="2" t="s">
        <v>136</v>
      </c>
    </row>
    <row r="40" customFormat="false" ht="15" hidden="false" customHeight="false" outlineLevel="0" collapsed="false">
      <c r="A40" s="2" t="s">
        <v>137</v>
      </c>
    </row>
    <row r="42" customFormat="false" ht="15" hidden="false" customHeight="false" outlineLevel="0" collapsed="false">
      <c r="A42" s="3" t="s">
        <v>138</v>
      </c>
    </row>
    <row r="43" customFormat="false" ht="15" hidden="false" customHeight="false" outlineLevel="0" collapsed="false">
      <c r="A43" s="5" t="s">
        <v>103</v>
      </c>
      <c r="B43" s="6" t="s">
        <v>75</v>
      </c>
      <c r="C43" s="6" t="s">
        <v>139</v>
      </c>
      <c r="D43" s="6" t="s">
        <v>140</v>
      </c>
      <c r="E43" s="6" t="s">
        <v>141</v>
      </c>
    </row>
    <row r="44" customFormat="false" ht="15" hidden="false" customHeight="false" outlineLevel="0" collapsed="false">
      <c r="A44" s="4" t="s">
        <v>105</v>
      </c>
      <c r="B44" s="2" t="s">
        <v>106</v>
      </c>
      <c r="C44" s="19" t="n">
        <v>31042.3</v>
      </c>
      <c r="D44" s="19" t="n">
        <v>36236.9</v>
      </c>
      <c r="E44" s="19" t="n">
        <v>37634.9</v>
      </c>
    </row>
    <row r="45" customFormat="false" ht="15" hidden="false" customHeight="false" outlineLevel="0" collapsed="false">
      <c r="A45" s="4" t="s">
        <v>117</v>
      </c>
      <c r="B45" s="2" t="s">
        <v>106</v>
      </c>
      <c r="C45" s="19" t="n">
        <v>5228.9</v>
      </c>
      <c r="D45" s="19" t="n">
        <v>5561</v>
      </c>
      <c r="E45" s="19" t="n">
        <v>5733</v>
      </c>
    </row>
    <row r="46" customFormat="false" ht="15" hidden="false" customHeight="false" outlineLevel="0" collapsed="false">
      <c r="A46" s="4" t="s">
        <v>120</v>
      </c>
      <c r="B46" s="2" t="s">
        <v>121</v>
      </c>
      <c r="C46" s="20" t="n">
        <v>314116</v>
      </c>
      <c r="D46" s="20" t="n">
        <v>369913</v>
      </c>
      <c r="E46" s="22" t="s">
        <v>124</v>
      </c>
    </row>
    <row r="47" customFormat="false" ht="15" hidden="false" customHeight="false" outlineLevel="0" collapsed="false">
      <c r="A47" s="4" t="s">
        <v>83</v>
      </c>
      <c r="B47" s="2" t="s">
        <v>84</v>
      </c>
      <c r="C47" s="21" t="n">
        <v>4438</v>
      </c>
      <c r="D47" s="21" t="n">
        <v>3324</v>
      </c>
      <c r="E47" s="22" t="s">
        <v>124</v>
      </c>
    </row>
    <row r="48" customFormat="false" ht="15" hidden="false" customHeight="false" outlineLevel="0" collapsed="false">
      <c r="A48" s="4" t="s">
        <v>90</v>
      </c>
      <c r="B48" s="2" t="s">
        <v>84</v>
      </c>
      <c r="C48" s="21" t="n">
        <v>2215</v>
      </c>
      <c r="D48" s="21" t="n">
        <v>1769</v>
      </c>
      <c r="E48" s="22" t="s">
        <v>124</v>
      </c>
    </row>
    <row r="49" customFormat="false" ht="15" hidden="false" customHeight="false" outlineLevel="0" collapsed="false">
      <c r="A49" s="4" t="s">
        <v>99</v>
      </c>
      <c r="B49" s="2" t="s">
        <v>97</v>
      </c>
      <c r="C49" s="23" t="n">
        <v>0.63</v>
      </c>
      <c r="D49" s="23" t="n">
        <v>0.675</v>
      </c>
      <c r="E49" s="22" t="s">
        <v>124</v>
      </c>
    </row>
    <row r="50" customFormat="false" ht="15" hidden="false" customHeight="false" outlineLevel="0" collapsed="false">
      <c r="A50" s="4" t="s">
        <v>142</v>
      </c>
      <c r="B50" s="2" t="s">
        <v>97</v>
      </c>
      <c r="C50" s="11" t="n">
        <f aca="false">C45/C44</f>
        <v>0.16844434851799</v>
      </c>
      <c r="D50" s="11" t="n">
        <f aca="false">D45/D44</f>
        <v>0.153462354671619</v>
      </c>
      <c r="E50" s="11" t="n">
        <f aca="false">E45/E44</f>
        <v>0.152332010979171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1"/>
    <col collapsed="false" customWidth="true" hidden="false" outlineLevel="0" max="5" min="5" style="0" width="13"/>
    <col collapsed="false" customWidth="true" hidden="false" outlineLevel="0" max="6" min="6" style="0" width="90"/>
  </cols>
  <sheetData>
    <row r="1" customFormat="false" ht="19.7" hidden="false" customHeight="false" outlineLevel="0" collapsed="false">
      <c r="A1" s="1" t="s">
        <v>143</v>
      </c>
    </row>
    <row r="2" customFormat="false" ht="15" hidden="false" customHeight="false" outlineLevel="0" collapsed="false">
      <c r="A2" s="2" t="s">
        <v>144</v>
      </c>
    </row>
    <row r="4" customFormat="false" ht="15" hidden="false" customHeight="false" outlineLevel="0" collapsed="false">
      <c r="A4" s="5" t="s">
        <v>145</v>
      </c>
      <c r="B4" s="6" t="s">
        <v>63</v>
      </c>
      <c r="C4" s="6" t="s">
        <v>64</v>
      </c>
      <c r="D4" s="6" t="s">
        <v>65</v>
      </c>
      <c r="E4" s="6" t="s">
        <v>146</v>
      </c>
      <c r="F4" s="6" t="s">
        <v>147</v>
      </c>
    </row>
    <row r="5" customFormat="false" ht="15" hidden="false" customHeight="false" outlineLevel="0" collapsed="false">
      <c r="A5" s="4" t="s">
        <v>148</v>
      </c>
      <c r="B5" s="24" t="n">
        <f aca="false">Historicals!G6/(Historicals!G19*Historicals!G21/1000000)</f>
        <v>0.985591073056994</v>
      </c>
      <c r="C5" s="24" t="n">
        <f aca="false">Historicals!H6/(Historicals!H19*Historicals!H21/1000000)</f>
        <v>0.983860209653529</v>
      </c>
      <c r="D5" s="24" t="n">
        <f aca="false">Historicals!I6/(Historicals!I19*Historicals!I21/1000000)</f>
        <v>0.986821642734958</v>
      </c>
      <c r="E5" s="25" t="n">
        <f aca="false">AVERAGE(B5:D5)</f>
        <v>0.985424308481827</v>
      </c>
      <c r="F5" s="2" t="s">
        <v>149</v>
      </c>
    </row>
    <row r="6" customFormat="false" ht="15" hidden="false" customHeight="false" outlineLevel="0" collapsed="false">
      <c r="A6" s="4" t="s">
        <v>150</v>
      </c>
      <c r="B6" s="24" t="n">
        <f aca="false">Historicals!G7/(Historicals!G20*Historicals!G22/1000000)</f>
        <v>1.11292623914</v>
      </c>
      <c r="C6" s="24" t="n">
        <f aca="false">Historicals!H7/(Historicals!H20*Historicals!H22/1000000)</f>
        <v>1.12357954672924</v>
      </c>
      <c r="D6" s="24" t="n">
        <f aca="false">Historicals!I7/(Historicals!I20*Historicals!I22/1000000)</f>
        <v>1.12084240747984</v>
      </c>
      <c r="E6" s="25" t="n">
        <f aca="false">AVERAGE(B6:D6)</f>
        <v>1.11911606444969</v>
      </c>
      <c r="F6" s="2" t="s">
        <v>151</v>
      </c>
    </row>
    <row r="7" customFormat="false" ht="15" hidden="false" customHeight="false" outlineLevel="0" collapsed="false">
      <c r="A7" s="4" t="s">
        <v>152</v>
      </c>
      <c r="B7" s="24" t="n">
        <f aca="false">Historicals!G13/(Historicals!G20*Historicals!G24/1000000)</f>
        <v>1.00949317268527</v>
      </c>
      <c r="C7" s="24" t="n">
        <f aca="false">Historicals!H13/(Historicals!H20*Historicals!H24/1000000)</f>
        <v>1.00134012999341</v>
      </c>
      <c r="D7" s="24" t="n">
        <f aca="false">Historicals!I13/(Historicals!I20*Historicals!I24/1000000)</f>
        <v>0.975087553291725</v>
      </c>
      <c r="E7" s="25" t="n">
        <f aca="false">AVERAGE(B7:D7)</f>
        <v>0.995306951990136</v>
      </c>
      <c r="F7" s="2" t="s">
        <v>153</v>
      </c>
    </row>
    <row r="8" customFormat="false" ht="15" hidden="false" customHeight="false" outlineLevel="0" collapsed="false">
      <c r="A8" s="4" t="s">
        <v>154</v>
      </c>
      <c r="B8" s="24" t="n">
        <f aca="false">Historicals!G8/((Historicals!G19+Historicals!G20)*Historicals!G25/1000000)</f>
        <v>0.971314320268217</v>
      </c>
      <c r="C8" s="24" t="n">
        <f aca="false">Historicals!H8/((Historicals!H19+Historicals!H20)*Historicals!H25/1000000)</f>
        <v>0.964091222564079</v>
      </c>
      <c r="D8" s="24" t="n">
        <f aca="false">Historicals!I8/((Historicals!I19+Historicals!I20)*Historicals!I25/1000000)</f>
        <v>0.968773419675224</v>
      </c>
      <c r="E8" s="25" t="n">
        <f aca="false">AVERAGE(B8:D8)</f>
        <v>0.968059654169173</v>
      </c>
      <c r="F8" s="2" t="s">
        <v>155</v>
      </c>
    </row>
    <row r="9" customFormat="false" ht="15" hidden="false" customHeight="false" outlineLevel="0" collapsed="false">
      <c r="A9" s="4" t="s">
        <v>156</v>
      </c>
      <c r="B9" s="8" t="n">
        <f aca="false">Historicals!G16*(1-Historicals!G27)-Historicals!G28</f>
        <v>48.059</v>
      </c>
      <c r="C9" s="8" t="n">
        <f aca="false">Historicals!H16*(1-Historicals!H27)-Historicals!H28</f>
        <v>33.8627999999999</v>
      </c>
      <c r="D9" s="8" t="n">
        <f aca="false">Historicals!I16*(1-Historicals!I27)-Historicals!I28</f>
        <v>39.0106000000001</v>
      </c>
      <c r="E9" s="7" t="n">
        <f aca="false">AVERAGE(B9:D9)</f>
        <v>40.3108</v>
      </c>
      <c r="F9" s="2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"/>
    <col collapsed="false" customWidth="true" hidden="false" outlineLevel="0" max="7" min="3" style="0" width="12"/>
    <col collapsed="false" customWidth="true" hidden="false" outlineLevel="0" max="9" min="8" style="0" width="13"/>
  </cols>
  <sheetData>
    <row r="1" customFormat="false" ht="19.7" hidden="false" customHeight="false" outlineLevel="0" collapsed="false">
      <c r="A1" s="1" t="s">
        <v>158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2" t="s">
        <v>160</v>
      </c>
      <c r="C3" s="26" t="n">
        <v>1</v>
      </c>
      <c r="D3" s="26" t="n">
        <v>2</v>
      </c>
      <c r="E3" s="26" t="n">
        <v>3</v>
      </c>
      <c r="F3" s="26" t="n">
        <v>4</v>
      </c>
      <c r="G3" s="26" t="n">
        <v>5</v>
      </c>
    </row>
    <row r="6" customFormat="false" ht="15" hidden="false" customHeight="false" outlineLevel="0" collapsed="false">
      <c r="A6" s="5" t="s">
        <v>161</v>
      </c>
      <c r="B6" s="6"/>
      <c r="C6" s="6" t="s">
        <v>66</v>
      </c>
      <c r="D6" s="6" t="s">
        <v>67</v>
      </c>
      <c r="E6" s="6" t="s">
        <v>68</v>
      </c>
      <c r="F6" s="6" t="s">
        <v>69</v>
      </c>
      <c r="G6" s="6" t="s">
        <v>70</v>
      </c>
      <c r="H6" s="6" t="s">
        <v>162</v>
      </c>
      <c r="I6" s="6" t="s">
        <v>163</v>
      </c>
    </row>
    <row r="7" customFormat="false" ht="15" hidden="false" customHeight="false" outlineLevel="0" collapsed="false">
      <c r="A7" s="4" t="s">
        <v>120</v>
      </c>
      <c r="C7" s="27" t="n">
        <f aca="false">Historicals!F19*(1+Inputs!$C$8)</f>
        <v>98398.24</v>
      </c>
      <c r="D7" s="27" t="n">
        <f aca="false">Historicals!G19*(1+Inputs!$C$8)</f>
        <v>95734.87</v>
      </c>
      <c r="E7" s="27" t="n">
        <f aca="false">Historicals!H19*(1+Inputs!$C$8)</f>
        <v>105129.89</v>
      </c>
      <c r="F7" s="27" t="n">
        <f aca="false">Historicals!I19*(1+Inputs!$C$8)</f>
        <v>106525.71</v>
      </c>
      <c r="G7" s="27" t="n">
        <f aca="false">C7*(1+Inputs!$C$8)</f>
        <v>99382.2224</v>
      </c>
      <c r="H7" s="28" t="n">
        <f aca="false">SUM(D7:G7)</f>
        <v>406772.6924</v>
      </c>
    </row>
    <row r="8" customFormat="false" ht="15" hidden="false" customHeight="false" outlineLevel="0" collapsed="false">
      <c r="A8" s="4" t="s">
        <v>164</v>
      </c>
      <c r="C8" s="29" t="n">
        <f aca="false">Historicals!$I$21*(1+Inputs!$C$9)^(C$3/4)</f>
        <v>46777</v>
      </c>
      <c r="D8" s="29" t="n">
        <f aca="false">Historicals!$I$21*(1+Inputs!$C$9)^(D$3/4)</f>
        <v>46777</v>
      </c>
      <c r="E8" s="29" t="n">
        <f aca="false">Historicals!$I$21*(1+Inputs!$C$9)^(E$3/4)</f>
        <v>46777</v>
      </c>
      <c r="F8" s="29" t="n">
        <f aca="false">Historicals!$I$21*(1+Inputs!$C$9)^(F$3/4)</f>
        <v>46777</v>
      </c>
      <c r="G8" s="29" t="n">
        <f aca="false">Historicals!$I$21*(1+Inputs!$C$9)^(G$3/4)</f>
        <v>46777</v>
      </c>
    </row>
    <row r="9" customFormat="false" ht="15" hidden="false" customHeight="false" outlineLevel="0" collapsed="false">
      <c r="A9" s="4" t="s">
        <v>165</v>
      </c>
      <c r="C9" s="12" t="n">
        <f aca="false">C7*C8*Calibration!$E$5/1000000</f>
        <v>4535.68585164141</v>
      </c>
      <c r="D9" s="12" t="n">
        <f aca="false">D7*D8*Calibration!$E$5/1000000</f>
        <v>4412.91729778632</v>
      </c>
      <c r="E9" s="12" t="n">
        <f aca="false">E7*E8*Calibration!$E$5/1000000</f>
        <v>4845.98255677762</v>
      </c>
      <c r="F9" s="12" t="n">
        <f aca="false">F7*F8*Calibration!$E$5/1000000</f>
        <v>4910.32314890039</v>
      </c>
      <c r="G9" s="12" t="n">
        <f aca="false">G7*G8*Calibration!$E$5/1000000</f>
        <v>4581.04271015782</v>
      </c>
      <c r="H9" s="7" t="n">
        <f aca="false">SUM(D9:G9)</f>
        <v>18750.2657136221</v>
      </c>
      <c r="I9" s="7" t="n">
        <f aca="false">SUM(Historicals!G6:I6)+C9</f>
        <v>18612.8858516414</v>
      </c>
    </row>
    <row r="10" customFormat="false" ht="15" hidden="false" customHeight="false" outlineLevel="0" collapsed="false">
      <c r="A10" s="4" t="s">
        <v>166</v>
      </c>
      <c r="C10" s="29" t="n">
        <f aca="false">Inputs!$C$10</f>
        <v>2600</v>
      </c>
      <c r="D10" s="29" t="n">
        <f aca="false">Inputs!$C$10</f>
        <v>2600</v>
      </c>
      <c r="E10" s="29" t="n">
        <f aca="false">Inputs!$C$10</f>
        <v>2600</v>
      </c>
      <c r="F10" s="29" t="n">
        <f aca="false">Inputs!$C$10</f>
        <v>2600</v>
      </c>
      <c r="G10" s="29" t="n">
        <f aca="false">Inputs!$C$10</f>
        <v>2600</v>
      </c>
    </row>
    <row r="11" customFormat="false" ht="15" hidden="false" customHeight="false" outlineLevel="0" collapsed="false">
      <c r="A11" s="4" t="s">
        <v>167</v>
      </c>
      <c r="C11" s="12" t="n">
        <f aca="false">C7*C10/1000000</f>
        <v>255.835424</v>
      </c>
      <c r="D11" s="12" t="n">
        <f aca="false">D7*D10/1000000</f>
        <v>248.910662</v>
      </c>
      <c r="E11" s="12" t="n">
        <f aca="false">E7*E10/1000000</f>
        <v>273.337714</v>
      </c>
      <c r="F11" s="12" t="n">
        <f aca="false">F7*F10/1000000</f>
        <v>276.966846</v>
      </c>
      <c r="G11" s="12" t="n">
        <f aca="false">G7*G10/1000000</f>
        <v>258.39377824</v>
      </c>
      <c r="H11" s="7" t="n">
        <f aca="false">SUM(D11:G11)</f>
        <v>1057.60900024</v>
      </c>
    </row>
    <row r="12" customFormat="false" ht="15" hidden="false" customHeight="false" outlineLevel="0" collapsed="false">
      <c r="A12" s="4" t="s">
        <v>168</v>
      </c>
      <c r="C12" s="27" t="n">
        <f aca="false">Historicals!F20*(1+Inputs!$C$11)</f>
        <v>100904.05</v>
      </c>
      <c r="D12" s="27" t="n">
        <f aca="false">Historicals!G20*(1+Inputs!$C$11)</f>
        <v>111252.51</v>
      </c>
      <c r="E12" s="27" t="n">
        <f aca="false">Historicals!H20*(1+Inputs!$C$11)</f>
        <v>107175.14</v>
      </c>
      <c r="F12" s="27" t="n">
        <f aca="false">Historicals!I20*(1+Inputs!$C$11)</f>
        <v>110888.91</v>
      </c>
      <c r="G12" s="27" t="n">
        <f aca="false">C12*(1+Inputs!$C$11)</f>
        <v>101913.0905</v>
      </c>
      <c r="H12" s="28" t="n">
        <f aca="false">SUM(D12:G12)</f>
        <v>431229.6505</v>
      </c>
    </row>
    <row r="13" customFormat="false" ht="15" hidden="false" customHeight="false" outlineLevel="0" collapsed="false">
      <c r="A13" s="4" t="s">
        <v>169</v>
      </c>
      <c r="C13" s="29" t="n">
        <f aca="false">Historicals!$I$22*(1+Inputs!$C$12)^(C$3/4)</f>
        <v>29572.4725490932</v>
      </c>
      <c r="D13" s="29" t="n">
        <f aca="false">Historicals!$I$22*(1+Inputs!$C$12)^(D$3/4)</f>
        <v>29646.1280947445</v>
      </c>
      <c r="E13" s="29" t="n">
        <f aca="false">Historicals!$I$22*(1+Inputs!$C$12)^(E$3/4)</f>
        <v>29719.9670927398</v>
      </c>
      <c r="F13" s="29" t="n">
        <f aca="false">Historicals!$I$22*(1+Inputs!$C$12)^(F$3/4)</f>
        <v>29793.99</v>
      </c>
      <c r="G13" s="29" t="n">
        <f aca="false">Historicals!$I$22*(1+Inputs!$C$12)^(G$3/4)</f>
        <v>29868.1972745841</v>
      </c>
    </row>
    <row r="14" customFormat="false" ht="15" hidden="false" customHeight="false" outlineLevel="0" collapsed="false">
      <c r="A14" s="4" t="s">
        <v>170</v>
      </c>
      <c r="C14" s="12" t="n">
        <f aca="false">C12*C13*Calibration!$E$6/1000000</f>
        <v>3339.42247057227</v>
      </c>
      <c r="D14" s="12" t="n">
        <f aca="false">D12*D13*Calibration!$E$6/1000000</f>
        <v>3691.07550012135</v>
      </c>
      <c r="E14" s="12" t="n">
        <f aca="false">E12*E13*Calibration!$E$6/1000000</f>
        <v>3564.65508171838</v>
      </c>
      <c r="F14" s="12" t="n">
        <f aca="false">F12*F13*Calibration!$E$6/1000000</f>
        <v>3697.36147806051</v>
      </c>
      <c r="G14" s="12" t="n">
        <f aca="false">G12*G13*Calibration!$E$6/1000000</f>
        <v>3406.54486223078</v>
      </c>
      <c r="H14" s="7" t="n">
        <f aca="false">SUM(D14:G14)</f>
        <v>14359.636922131</v>
      </c>
      <c r="I14" s="7" t="n">
        <f aca="false">SUM(Historicals!G7:I7)+C14</f>
        <v>13987.2224705723</v>
      </c>
    </row>
    <row r="15" customFormat="false" ht="15" hidden="false" customHeight="false" outlineLevel="0" collapsed="false">
      <c r="A15" s="4" t="s">
        <v>171</v>
      </c>
      <c r="C15" s="29" t="n">
        <f aca="false">Inputs!$C$13</f>
        <v>1900</v>
      </c>
      <c r="D15" s="29" t="n">
        <f aca="false">Inputs!$C$13</f>
        <v>1900</v>
      </c>
      <c r="E15" s="29" t="n">
        <f aca="false">Inputs!$C$13</f>
        <v>1900</v>
      </c>
      <c r="F15" s="29" t="n">
        <f aca="false">Inputs!$C$13</f>
        <v>1900</v>
      </c>
      <c r="G15" s="29" t="n">
        <f aca="false">Inputs!$C$13</f>
        <v>1900</v>
      </c>
    </row>
    <row r="16" customFormat="false" ht="15" hidden="false" customHeight="false" outlineLevel="0" collapsed="false">
      <c r="A16" s="4" t="s">
        <v>172</v>
      </c>
      <c r="C16" s="12" t="n">
        <f aca="false">C12*C15*Calibration!$E$7/1000000</f>
        <v>190.817954653025</v>
      </c>
      <c r="D16" s="12" t="n">
        <f aca="false">D12*D15*Calibration!$E$7/1000000</f>
        <v>210.387753595769</v>
      </c>
      <c r="E16" s="12" t="n">
        <f aca="false">E12*E15*Calibration!$E$7/1000000</f>
        <v>202.677107652781</v>
      </c>
      <c r="F16" s="12" t="n">
        <f aca="false">F12*F15*Calibration!$E$7/1000000</f>
        <v>209.700155741056</v>
      </c>
      <c r="G16" s="12" t="n">
        <f aca="false">G12*G15*Calibration!$E$7/1000000</f>
        <v>192.726134199555</v>
      </c>
      <c r="H16" s="7" t="n">
        <f aca="false">SUM(D16:G16)</f>
        <v>815.49115118916</v>
      </c>
    </row>
    <row r="17" customFormat="false" ht="15" hidden="false" customHeight="false" outlineLevel="0" collapsed="false">
      <c r="A17" s="4" t="s">
        <v>173</v>
      </c>
      <c r="C17" s="29" t="n">
        <f aca="false">Inputs!$C$14</f>
        <v>1760</v>
      </c>
      <c r="D17" s="29" t="n">
        <f aca="false">Inputs!$C$14</f>
        <v>1760</v>
      </c>
      <c r="E17" s="29" t="n">
        <f aca="false">Inputs!$C$14</f>
        <v>1760</v>
      </c>
      <c r="F17" s="29" t="n">
        <f aca="false">Inputs!$C$14</f>
        <v>1760</v>
      </c>
      <c r="G17" s="29" t="n">
        <f aca="false">Inputs!$C$14</f>
        <v>1760</v>
      </c>
    </row>
    <row r="18" customFormat="false" ht="15" hidden="false" customHeight="false" outlineLevel="0" collapsed="false">
      <c r="A18" s="4" t="s">
        <v>174</v>
      </c>
      <c r="C18" s="12" t="n">
        <f aca="false">(C7+C12)*C17*Calibration!$E$8/1000000</f>
        <v>339.568250441243</v>
      </c>
      <c r="D18" s="12" t="n">
        <f aca="false">(D7+D12)*D17*Calibration!$E$8/1000000</f>
        <v>352.661991440323</v>
      </c>
      <c r="E18" s="12" t="n">
        <f aca="false">(E7+E12)*E17*Calibration!$E$8/1000000</f>
        <v>361.72212369951</v>
      </c>
      <c r="F18" s="12" t="n">
        <f aca="false">(F7+F12)*F17*Calibration!$E$8/1000000</f>
        <v>370.427766453399</v>
      </c>
      <c r="G18" s="12" t="n">
        <f aca="false">(G7+G12)*G17*Calibration!$E$8/1000000</f>
        <v>342.963932945655</v>
      </c>
      <c r="H18" s="7" t="n">
        <f aca="false">SUM(D18:G18)</f>
        <v>1427.77581453889</v>
      </c>
      <c r="I18" s="7" t="n">
        <f aca="false">SUM(Historicals!G8:I8)+C18</f>
        <v>1427.06825044124</v>
      </c>
    </row>
    <row r="19" customFormat="false" ht="15" hidden="false" customHeight="false" outlineLevel="0" collapsed="false">
      <c r="A19" s="4" t="s">
        <v>175</v>
      </c>
      <c r="C19" s="12" t="n">
        <f aca="false">Historicals!F9*(1+Inputs!$C$15)</f>
        <v>1086.75</v>
      </c>
      <c r="D19" s="12" t="n">
        <f aca="false">Historicals!G9*(1+Inputs!$C$15)</f>
        <v>1095.045</v>
      </c>
      <c r="E19" s="12" t="n">
        <f aca="false">Historicals!H9*(1+Inputs!$C$15)</f>
        <v>1120.77</v>
      </c>
      <c r="F19" s="12" t="n">
        <f aca="false">Historicals!I9*(1+Inputs!$C$15)</f>
        <v>1140.93</v>
      </c>
      <c r="G19" s="12" t="n">
        <f aca="false">C19*(1+Inputs!$C$15)</f>
        <v>1141.0875</v>
      </c>
      <c r="H19" s="7" t="n">
        <f aca="false">SUM(D19:G19)</f>
        <v>4497.8325</v>
      </c>
      <c r="I19" s="7" t="n">
        <f aca="false">SUM(Historicals!G9:I9)+C19</f>
        <v>4283.65</v>
      </c>
    </row>
    <row r="20" customFormat="false" ht="15" hidden="false" customHeight="false" outlineLevel="0" collapsed="false">
      <c r="A20" s="4" t="s">
        <v>96</v>
      </c>
      <c r="C20" s="11" t="n">
        <f aca="false">Inputs!$C$16</f>
        <v>0.59</v>
      </c>
      <c r="D20" s="11" t="n">
        <f aca="false">Inputs!$C$16</f>
        <v>0.59</v>
      </c>
      <c r="E20" s="11" t="n">
        <f aca="false">Inputs!$C$16</f>
        <v>0.59</v>
      </c>
      <c r="F20" s="11" t="n">
        <f aca="false">Inputs!$C$16</f>
        <v>0.59</v>
      </c>
      <c r="G20" s="11" t="n">
        <f aca="false">Inputs!$C$16</f>
        <v>0.59</v>
      </c>
      <c r="H20" s="9" t="n">
        <f aca="false">IFERROR(H21/H19,0)</f>
        <v>0.59</v>
      </c>
    </row>
    <row r="21" customFormat="false" ht="15" hidden="false" customHeight="false" outlineLevel="0" collapsed="false">
      <c r="A21" s="4" t="s">
        <v>176</v>
      </c>
      <c r="C21" s="12" t="n">
        <f aca="false">C19*C20</f>
        <v>641.1825</v>
      </c>
      <c r="D21" s="12" t="n">
        <f aca="false">D19*D20</f>
        <v>646.07655</v>
      </c>
      <c r="E21" s="12" t="n">
        <f aca="false">E19*E20</f>
        <v>661.2543</v>
      </c>
      <c r="F21" s="12" t="n">
        <f aca="false">F19*F20</f>
        <v>673.1487</v>
      </c>
      <c r="G21" s="12" t="n">
        <f aca="false">G19*G20</f>
        <v>673.241625</v>
      </c>
      <c r="H21" s="7" t="n">
        <f aca="false">SUM(D21:G21)</f>
        <v>2653.721175</v>
      </c>
    </row>
    <row r="22" customFormat="false" ht="15" hidden="false" customHeight="false" outlineLevel="0" collapsed="false">
      <c r="A22" s="13" t="s">
        <v>177</v>
      </c>
      <c r="C22" s="12" t="n">
        <f aca="false">C9+C14+C18+C19</f>
        <v>9301.42657265493</v>
      </c>
      <c r="D22" s="12" t="n">
        <f aca="false">D9+D14+D18+D19</f>
        <v>9551.69978934799</v>
      </c>
      <c r="E22" s="12" t="n">
        <f aca="false">E9+E14+E18+E19</f>
        <v>9893.12976219551</v>
      </c>
      <c r="F22" s="12" t="n">
        <f aca="false">F9+F14+F18+F19</f>
        <v>10119.0423934143</v>
      </c>
      <c r="G22" s="12" t="n">
        <f aca="false">G9+G14+G18+G19</f>
        <v>9471.63900533426</v>
      </c>
      <c r="H22" s="7" t="n">
        <f aca="false">SUM(D22:G22)</f>
        <v>39035.510950292</v>
      </c>
      <c r="I22" s="7" t="n">
        <f aca="false">SUM(Historicals!G5:I5)+C22</f>
        <v>38310.8265726549</v>
      </c>
    </row>
    <row r="23" customFormat="false" ht="15" hidden="false" customHeight="false" outlineLevel="0" collapsed="false">
      <c r="A23" s="13" t="s">
        <v>178</v>
      </c>
      <c r="C23" s="12" t="n">
        <f aca="false">C11+C16+C18+C21</f>
        <v>1427.40412909427</v>
      </c>
      <c r="D23" s="12" t="n">
        <f aca="false">D11+D16+D18+D21</f>
        <v>1458.03695703609</v>
      </c>
      <c r="E23" s="12" t="n">
        <f aca="false">E11+E16+E18+E21</f>
        <v>1498.99124535229</v>
      </c>
      <c r="F23" s="12" t="n">
        <f aca="false">F11+F16+F18+F21</f>
        <v>1530.24346819446</v>
      </c>
      <c r="G23" s="12" t="n">
        <f aca="false">G11+G16+G18+G21</f>
        <v>1467.32547038521</v>
      </c>
      <c r="H23" s="7" t="n">
        <f aca="false">SUM(D23:G23)</f>
        <v>5954.59714096805</v>
      </c>
      <c r="I23" s="7" t="n">
        <f aca="false">SUM(Historicals!G16:I16)+C23</f>
        <v>5842.30412909427</v>
      </c>
    </row>
    <row r="24" customFormat="false" ht="15" hidden="false" customHeight="false" outlineLevel="0" collapsed="false">
      <c r="A24" s="4" t="s">
        <v>179</v>
      </c>
      <c r="C24" s="11" t="n">
        <f aca="false">IFERROR(C23/C22,0)</f>
        <v>0.153460774854759</v>
      </c>
      <c r="D24" s="11" t="n">
        <f aca="false">IFERROR(D23/D22,0)</f>
        <v>0.152646857542789</v>
      </c>
      <c r="E24" s="11" t="n">
        <f aca="false">IFERROR(E23/E22,0)</f>
        <v>0.151518405336233</v>
      </c>
      <c r="F24" s="11" t="n">
        <f aca="false">IFERROR(F23/F22,0)</f>
        <v>0.151224138480769</v>
      </c>
      <c r="G24" s="11" t="n">
        <f aca="false">IFERROR(G23/G22,0)</f>
        <v>0.154917799291003</v>
      </c>
      <c r="H24" s="9" t="n">
        <f aca="false">IFERROR(H23/H22,0)</f>
        <v>0.152543081824922</v>
      </c>
      <c r="I24" s="9" t="n">
        <f aca="false">IFERROR(I23/I22,0)</f>
        <v>0.152497470082369</v>
      </c>
    </row>
    <row r="25" customFormat="false" ht="15" hidden="false" customHeight="false" outlineLevel="0" collapsed="false">
      <c r="A25" s="4" t="s">
        <v>180</v>
      </c>
      <c r="C25" s="12" t="n">
        <f aca="false">C23*Inputs!$C$17</f>
        <v>984.908849075044</v>
      </c>
      <c r="D25" s="12" t="n">
        <f aca="false">D23*Inputs!$C$17</f>
        <v>1006.0455003549</v>
      </c>
      <c r="E25" s="12" t="n">
        <f aca="false">E23*Inputs!$C$17</f>
        <v>1034.30395929308</v>
      </c>
      <c r="F25" s="12" t="n">
        <f aca="false">F23*Inputs!$C$17</f>
        <v>1055.86799305417</v>
      </c>
      <c r="G25" s="12" t="n">
        <f aca="false">G23*Inputs!$C$17</f>
        <v>1012.45457456579</v>
      </c>
      <c r="H25" s="7" t="n">
        <f aca="false">SUM(D25:G25)</f>
        <v>4108.67202726795</v>
      </c>
    </row>
    <row r="26" customFormat="false" ht="15" hidden="false" customHeight="false" outlineLevel="0" collapsed="false">
      <c r="A26" s="4" t="s">
        <v>181</v>
      </c>
      <c r="C26" s="12" t="n">
        <f aca="false">Calibration!$E$9</f>
        <v>40.3108</v>
      </c>
      <c r="D26" s="12" t="n">
        <f aca="false">Calibration!$E$9</f>
        <v>40.3108</v>
      </c>
      <c r="E26" s="12" t="n">
        <f aca="false">Calibration!$E$9</f>
        <v>40.3108</v>
      </c>
      <c r="F26" s="12" t="n">
        <f aca="false">Calibration!$E$9</f>
        <v>40.3108</v>
      </c>
      <c r="G26" s="12" t="n">
        <f aca="false">Calibration!$E$9</f>
        <v>40.3108</v>
      </c>
      <c r="H26" s="7" t="n">
        <f aca="false">SUM(D26:G26)</f>
        <v>161.2432</v>
      </c>
    </row>
    <row r="27" customFormat="false" ht="15" hidden="false" customHeight="false" outlineLevel="0" collapsed="false">
      <c r="A27" s="13" t="s">
        <v>182</v>
      </c>
      <c r="C27" s="12" t="n">
        <f aca="false">C23-C25-C26</f>
        <v>402.184480019223</v>
      </c>
      <c r="D27" s="12" t="n">
        <f aca="false">D23-D25-D26</f>
        <v>411.680656681189</v>
      </c>
      <c r="E27" s="12" t="n">
        <f aca="false">E23-E25-E26</f>
        <v>424.37648605921</v>
      </c>
      <c r="F27" s="12" t="n">
        <f aca="false">F23-F25-F26</f>
        <v>434.064675140281</v>
      </c>
      <c r="G27" s="12" t="n">
        <f aca="false">G23-G25-G26</f>
        <v>414.560095819415</v>
      </c>
      <c r="H27" s="7" t="n">
        <f aca="false">SUM(D27:G27)</f>
        <v>1684.68191370009</v>
      </c>
      <c r="I27" s="7" t="n">
        <f aca="false">SUM(Historicals!G28:I28)+C27</f>
        <v>1606.48448001922</v>
      </c>
    </row>
    <row r="28" customFormat="false" ht="15" hidden="false" customHeight="false" outlineLevel="0" collapsed="false">
      <c r="A28" s="4" t="s">
        <v>132</v>
      </c>
      <c r="C28" s="11" t="n">
        <f aca="false">IFERROR(C27/C22,0)</f>
        <v>0.0432390103687532</v>
      </c>
      <c r="D28" s="11" t="n">
        <f aca="false">IFERROR(D27/D22,0)</f>
        <v>0.0431002508203088</v>
      </c>
      <c r="E28" s="11" t="n">
        <f aca="false">IFERROR(E27/E22,0)</f>
        <v>0.0428960800333252</v>
      </c>
      <c r="F28" s="11" t="n">
        <f aca="false">IFERROR(F27/F22,0)</f>
        <v>0.042895825342404</v>
      </c>
      <c r="G28" s="11" t="n">
        <f aca="false">IFERROR(G27/G22,0)</f>
        <v>0.043768570105548</v>
      </c>
      <c r="H28" s="9" t="n">
        <f aca="false">IFERROR(H27/H22,0)</f>
        <v>0.0431576754777304</v>
      </c>
      <c r="I28" s="9" t="n">
        <f aca="false">IFERROR(I27/I22,0)</f>
        <v>0.0419329109742018</v>
      </c>
    </row>
    <row r="32" customFormat="false" ht="15" hidden="false" customHeight="false" outlineLevel="0" collapsed="false">
      <c r="A32" s="5" t="s">
        <v>183</v>
      </c>
      <c r="B32" s="6"/>
      <c r="C32" s="6" t="s">
        <v>66</v>
      </c>
      <c r="D32" s="6" t="s">
        <v>67</v>
      </c>
      <c r="E32" s="6" t="s">
        <v>68</v>
      </c>
      <c r="F32" s="6" t="s">
        <v>69</v>
      </c>
      <c r="G32" s="6" t="s">
        <v>70</v>
      </c>
      <c r="H32" s="6" t="s">
        <v>162</v>
      </c>
      <c r="I32" s="6" t="s">
        <v>163</v>
      </c>
    </row>
    <row r="33" customFormat="false" ht="15" hidden="false" customHeight="false" outlineLevel="0" collapsed="false">
      <c r="A33" s="4" t="s">
        <v>120</v>
      </c>
      <c r="C33" s="27" t="n">
        <f aca="false">Historicals!F19*(1+Inputs!$D$8)</f>
        <v>101320.96</v>
      </c>
      <c r="D33" s="27" t="n">
        <f aca="false">Historicals!G19*(1+Inputs!$D$8)</f>
        <v>98578.48</v>
      </c>
      <c r="E33" s="27" t="n">
        <f aca="false">Historicals!H19*(1+Inputs!$D$8)</f>
        <v>108252.56</v>
      </c>
      <c r="F33" s="27" t="n">
        <f aca="false">Historicals!I19*(1+Inputs!$D$8)</f>
        <v>109689.84</v>
      </c>
      <c r="G33" s="27" t="n">
        <f aca="false">C33*(1+Inputs!$D$8)</f>
        <v>105373.7984</v>
      </c>
      <c r="H33" s="28" t="n">
        <f aca="false">SUM(D33:G33)</f>
        <v>421894.6784</v>
      </c>
    </row>
    <row r="34" customFormat="false" ht="15" hidden="false" customHeight="false" outlineLevel="0" collapsed="false">
      <c r="A34" s="4" t="s">
        <v>164</v>
      </c>
      <c r="C34" s="29" t="n">
        <f aca="false">Historicals!$I$21*(1+Inputs!$D$9)^(C$3/4)</f>
        <v>46951.4355932572</v>
      </c>
      <c r="D34" s="29" t="n">
        <f aca="false">Historicals!$I$21*(1+Inputs!$D$9)^(D$3/4)</f>
        <v>47126.5216723556</v>
      </c>
      <c r="E34" s="29" t="n">
        <f aca="false">Historicals!$I$21*(1+Inputs!$D$9)^(E$3/4)</f>
        <v>47302.2606630148</v>
      </c>
      <c r="F34" s="29" t="n">
        <f aca="false">Historicals!$I$21*(1+Inputs!$D$9)^(F$3/4)</f>
        <v>47478.655</v>
      </c>
      <c r="G34" s="29" t="n">
        <f aca="false">Historicals!$I$21*(1+Inputs!$D$9)^(G$3/4)</f>
        <v>47655.707127156</v>
      </c>
    </row>
    <row r="35" customFormat="false" ht="15" hidden="false" customHeight="false" outlineLevel="0" collapsed="false">
      <c r="A35" s="4" t="s">
        <v>165</v>
      </c>
      <c r="C35" s="12" t="n">
        <f aca="false">C33*C34*Calibration!$E$5/1000000</f>
        <v>4687.82556503023</v>
      </c>
      <c r="D35" s="12" t="n">
        <f aca="false">D33*D34*Calibration!$E$5/1000000</f>
        <v>4577.94715434825</v>
      </c>
      <c r="E35" s="12" t="n">
        <f aca="false">E33*E34*Calibration!$E$5/1000000</f>
        <v>5045.95465851315</v>
      </c>
      <c r="F35" s="12" t="n">
        <f aca="false">F33*F34*Calibration!$E$5/1000000</f>
        <v>5132.01694651411</v>
      </c>
      <c r="G35" s="12" t="n">
        <f aca="false">G33*G34*Calibration!$E$5/1000000</f>
        <v>4948.46866644591</v>
      </c>
      <c r="H35" s="7" t="n">
        <f aca="false">SUM(D35:G35)</f>
        <v>19704.3874258214</v>
      </c>
      <c r="I35" s="7" t="n">
        <f aca="false">SUM(Historicals!G6:I6)+C35</f>
        <v>18765.0255650302</v>
      </c>
    </row>
    <row r="36" customFormat="false" ht="15" hidden="false" customHeight="false" outlineLevel="0" collapsed="false">
      <c r="A36" s="4" t="s">
        <v>166</v>
      </c>
      <c r="C36" s="29" t="n">
        <f aca="false">Inputs!$D$10</f>
        <v>2800</v>
      </c>
      <c r="D36" s="29" t="n">
        <f aca="false">Inputs!$D$10</f>
        <v>2800</v>
      </c>
      <c r="E36" s="29" t="n">
        <f aca="false">Inputs!$D$10</f>
        <v>2800</v>
      </c>
      <c r="F36" s="29" t="n">
        <f aca="false">Inputs!$D$10</f>
        <v>2800</v>
      </c>
      <c r="G36" s="29" t="n">
        <f aca="false">Inputs!$D$10</f>
        <v>2800</v>
      </c>
    </row>
    <row r="37" customFormat="false" ht="15" hidden="false" customHeight="false" outlineLevel="0" collapsed="false">
      <c r="A37" s="4" t="s">
        <v>167</v>
      </c>
      <c r="C37" s="12" t="n">
        <f aca="false">C33*C36/1000000</f>
        <v>283.698688</v>
      </c>
      <c r="D37" s="12" t="n">
        <f aca="false">D33*D36/1000000</f>
        <v>276.019744</v>
      </c>
      <c r="E37" s="12" t="n">
        <f aca="false">E33*E36/1000000</f>
        <v>303.107168</v>
      </c>
      <c r="F37" s="12" t="n">
        <f aca="false">F33*F36/1000000</f>
        <v>307.131552</v>
      </c>
      <c r="G37" s="12" t="n">
        <f aca="false">G33*G36/1000000</f>
        <v>295.04663552</v>
      </c>
      <c r="H37" s="7" t="n">
        <f aca="false">SUM(D37:G37)</f>
        <v>1181.30509952</v>
      </c>
    </row>
    <row r="38" customFormat="false" ht="15" hidden="false" customHeight="false" outlineLevel="0" collapsed="false">
      <c r="A38" s="4" t="s">
        <v>168</v>
      </c>
      <c r="C38" s="27" t="n">
        <f aca="false">Historicals!F20*(1+Inputs!$D$11)</f>
        <v>102902.15</v>
      </c>
      <c r="D38" s="27" t="n">
        <f aca="false">Historicals!G20*(1+Inputs!$D$11)</f>
        <v>113455.53</v>
      </c>
      <c r="E38" s="27" t="n">
        <f aca="false">Historicals!H20*(1+Inputs!$D$11)</f>
        <v>109297.42</v>
      </c>
      <c r="F38" s="27" t="n">
        <f aca="false">Historicals!I20*(1+Inputs!$D$11)</f>
        <v>113084.73</v>
      </c>
      <c r="G38" s="27" t="n">
        <f aca="false">C38*(1+Inputs!$D$11)</f>
        <v>105989.2145</v>
      </c>
      <c r="H38" s="28" t="n">
        <f aca="false">SUM(D38:G38)</f>
        <v>441826.8945</v>
      </c>
    </row>
    <row r="39" customFormat="false" ht="15" hidden="false" customHeight="false" outlineLevel="0" collapsed="false">
      <c r="A39" s="4" t="s">
        <v>169</v>
      </c>
      <c r="C39" s="29" t="n">
        <f aca="false">Historicals!$I$22*(1+Inputs!$D$12)^(C$3/4)</f>
        <v>29717.7962003713</v>
      </c>
      <c r="D39" s="29" t="n">
        <f aca="false">Historicals!$I$22*(1+Inputs!$D$12)^(D$3/4)</f>
        <v>29938.2152278655</v>
      </c>
      <c r="E39" s="29" t="n">
        <f aca="false">Historicals!$I$22*(1+Inputs!$D$12)^(E$3/4)</f>
        <v>30160.2691191078</v>
      </c>
      <c r="F39" s="29" t="n">
        <f aca="false">Historicals!$I$22*(1+Inputs!$D$12)^(F$3/4)</f>
        <v>30383.97</v>
      </c>
      <c r="G39" s="29" t="n">
        <f aca="false">Historicals!$I$22*(1+Inputs!$D$12)^(G$3/4)</f>
        <v>30609.3300863825</v>
      </c>
    </row>
    <row r="40" customFormat="false" ht="15" hidden="false" customHeight="false" outlineLevel="0" collapsed="false">
      <c r="A40" s="4" t="s">
        <v>170</v>
      </c>
      <c r="C40" s="12" t="n">
        <f aca="false">C38*C39*Calibration!$E$6/1000000</f>
        <v>3422.28503983433</v>
      </c>
      <c r="D40" s="12" t="n">
        <f aca="false">D38*D39*Calibration!$E$6/1000000</f>
        <v>3801.25237998566</v>
      </c>
      <c r="E40" s="12" t="n">
        <f aca="false">E38*E39*Calibration!$E$6/1000000</f>
        <v>3689.09851321809</v>
      </c>
      <c r="F40" s="12" t="n">
        <f aca="false">F38*F39*Calibration!$E$6/1000000</f>
        <v>3845.24143914753</v>
      </c>
      <c r="G40" s="12" t="n">
        <f aca="false">G38*G39*Calibration!$E$6/1000000</f>
        <v>3630.70219876024</v>
      </c>
      <c r="H40" s="7" t="n">
        <f aca="false">SUM(D40:G40)</f>
        <v>14966.2945311115</v>
      </c>
      <c r="I40" s="7" t="n">
        <f aca="false">SUM(Historicals!G7:I7)+C40</f>
        <v>14070.0850398343</v>
      </c>
    </row>
    <row r="41" customFormat="false" ht="15" hidden="false" customHeight="false" outlineLevel="0" collapsed="false">
      <c r="A41" s="4" t="s">
        <v>171</v>
      </c>
      <c r="C41" s="29" t="n">
        <f aca="false">Inputs!$D$13</f>
        <v>2050</v>
      </c>
      <c r="D41" s="29" t="n">
        <f aca="false">Inputs!$D$13</f>
        <v>2050</v>
      </c>
      <c r="E41" s="29" t="n">
        <f aca="false">Inputs!$D$13</f>
        <v>2050</v>
      </c>
      <c r="F41" s="29" t="n">
        <f aca="false">Inputs!$D$13</f>
        <v>2050</v>
      </c>
      <c r="G41" s="29" t="n">
        <f aca="false">Inputs!$D$13</f>
        <v>2050</v>
      </c>
    </row>
    <row r="42" customFormat="false" ht="15" hidden="false" customHeight="false" outlineLevel="0" collapsed="false">
      <c r="A42" s="4" t="s">
        <v>172</v>
      </c>
      <c r="C42" s="12" t="n">
        <f aca="false">C38*C41*Calibration!$E$7/1000000</f>
        <v>209.95941180295</v>
      </c>
      <c r="D42" s="12" t="n">
        <f aca="false">D38*D41*Calibration!$E$7/1000000</f>
        <v>231.492309388987</v>
      </c>
      <c r="E42" s="12" t="n">
        <f aca="false">E38*E41*Calibration!$E$7/1000000</f>
        <v>223.008188019201</v>
      </c>
      <c r="F42" s="12" t="n">
        <f aca="false">F38*F41*Calibration!$E$7/1000000</f>
        <v>230.735736762501</v>
      </c>
      <c r="G42" s="12" t="n">
        <f aca="false">G38*G41*Calibration!$E$7/1000000</f>
        <v>216.258194157039</v>
      </c>
      <c r="H42" s="7" t="n">
        <f aca="false">SUM(D42:G42)</f>
        <v>901.494428327728</v>
      </c>
    </row>
    <row r="43" customFormat="false" ht="15" hidden="false" customHeight="false" outlineLevel="0" collapsed="false">
      <c r="A43" s="4" t="s">
        <v>173</v>
      </c>
      <c r="C43" s="29" t="n">
        <f aca="false">Inputs!$D$14</f>
        <v>1820</v>
      </c>
      <c r="D43" s="29" t="n">
        <f aca="false">Inputs!$D$14</f>
        <v>1820</v>
      </c>
      <c r="E43" s="29" t="n">
        <f aca="false">Inputs!$D$14</f>
        <v>1820</v>
      </c>
      <c r="F43" s="29" t="n">
        <f aca="false">Inputs!$D$14</f>
        <v>1820</v>
      </c>
      <c r="G43" s="29" t="n">
        <f aca="false">Inputs!$D$14</f>
        <v>1820</v>
      </c>
    </row>
    <row r="44" customFormat="false" ht="15" hidden="false" customHeight="false" outlineLevel="0" collapsed="false">
      <c r="A44" s="4" t="s">
        <v>174</v>
      </c>
      <c r="C44" s="12" t="n">
        <f aca="false">(C33+C38)*C43*Calibration!$E$8/1000000</f>
        <v>359.814278896715</v>
      </c>
      <c r="D44" s="12" t="n">
        <f aca="false">(D33+D38)*D43*Calibration!$E$8/1000000</f>
        <v>373.57605811472</v>
      </c>
      <c r="E44" s="12" t="n">
        <f aca="false">(E33+E38)*E43*Calibration!$E$8/1000000</f>
        <v>383.294472294025</v>
      </c>
      <c r="F44" s="12" t="n">
        <f aca="false">(F33+F38)*F43*Calibration!$E$8/1000000</f>
        <v>392.499513209233</v>
      </c>
      <c r="G44" s="12" t="n">
        <f aca="false">(G33+G38)*G43*Calibration!$E$8/1000000</f>
        <v>372.393849413274</v>
      </c>
      <c r="H44" s="7" t="n">
        <f aca="false">SUM(D44:G44)</f>
        <v>1521.76389303125</v>
      </c>
      <c r="I44" s="7" t="n">
        <f aca="false">SUM(Historicals!G8:I8)+C44</f>
        <v>1447.31427889671</v>
      </c>
    </row>
    <row r="45" customFormat="false" ht="15" hidden="false" customHeight="false" outlineLevel="0" collapsed="false">
      <c r="A45" s="4" t="s">
        <v>175</v>
      </c>
      <c r="C45" s="12" t="n">
        <f aca="false">Historicals!F9*(1+Inputs!$D$15)</f>
        <v>1107.45</v>
      </c>
      <c r="D45" s="12" t="n">
        <f aca="false">Historicals!G9*(1+Inputs!$D$15)</f>
        <v>1115.903</v>
      </c>
      <c r="E45" s="12" t="n">
        <f aca="false">Historicals!H9*(1+Inputs!$D$15)</f>
        <v>1142.118</v>
      </c>
      <c r="F45" s="12" t="n">
        <f aca="false">Historicals!I9*(1+Inputs!$D$15)</f>
        <v>1162.662</v>
      </c>
      <c r="G45" s="12" t="n">
        <f aca="false">C45*(1+Inputs!$D$15)</f>
        <v>1184.9715</v>
      </c>
      <c r="H45" s="7" t="n">
        <f aca="false">SUM(D45:G45)</f>
        <v>4605.6545</v>
      </c>
      <c r="I45" s="7" t="n">
        <f aca="false">SUM(Historicals!G9:I9)+C45</f>
        <v>4304.35</v>
      </c>
    </row>
    <row r="46" customFormat="false" ht="15" hidden="false" customHeight="false" outlineLevel="0" collapsed="false">
      <c r="A46" s="4" t="s">
        <v>96</v>
      </c>
      <c r="C46" s="11" t="n">
        <f aca="false">Inputs!$D$16</f>
        <v>0.595</v>
      </c>
      <c r="D46" s="11" t="n">
        <f aca="false">Inputs!$D$16</f>
        <v>0.595</v>
      </c>
      <c r="E46" s="11" t="n">
        <f aca="false">Inputs!$D$16</f>
        <v>0.595</v>
      </c>
      <c r="F46" s="11" t="n">
        <f aca="false">Inputs!$D$16</f>
        <v>0.595</v>
      </c>
      <c r="G46" s="11" t="n">
        <f aca="false">Inputs!$D$16</f>
        <v>0.595</v>
      </c>
      <c r="H46" s="9" t="n">
        <f aca="false">IFERROR(H47/H45,0)</f>
        <v>0.595</v>
      </c>
    </row>
    <row r="47" customFormat="false" ht="15" hidden="false" customHeight="false" outlineLevel="0" collapsed="false">
      <c r="A47" s="4" t="s">
        <v>176</v>
      </c>
      <c r="C47" s="12" t="n">
        <f aca="false">C45*C46</f>
        <v>658.93275</v>
      </c>
      <c r="D47" s="12" t="n">
        <f aca="false">D45*D46</f>
        <v>663.962285</v>
      </c>
      <c r="E47" s="12" t="n">
        <f aca="false">E45*E46</f>
        <v>679.56021</v>
      </c>
      <c r="F47" s="12" t="n">
        <f aca="false">F45*F46</f>
        <v>691.78389</v>
      </c>
      <c r="G47" s="12" t="n">
        <f aca="false">G45*G46</f>
        <v>705.0580425</v>
      </c>
      <c r="H47" s="7" t="n">
        <f aca="false">SUM(D47:G47)</f>
        <v>2740.3644275</v>
      </c>
    </row>
    <row r="48" customFormat="false" ht="15" hidden="false" customHeight="false" outlineLevel="0" collapsed="false">
      <c r="A48" s="13" t="s">
        <v>177</v>
      </c>
      <c r="C48" s="12" t="n">
        <f aca="false">C35+C40+C44+C45</f>
        <v>9577.37488376127</v>
      </c>
      <c r="D48" s="12" t="n">
        <f aca="false">D35+D40+D44+D45</f>
        <v>9868.67859244862</v>
      </c>
      <c r="E48" s="12" t="n">
        <f aca="false">E35+E40+E44+E45</f>
        <v>10260.4656440253</v>
      </c>
      <c r="F48" s="12" t="n">
        <f aca="false">F35+F40+F44+F45</f>
        <v>10532.4198988709</v>
      </c>
      <c r="G48" s="12" t="n">
        <f aca="false">G35+G40+G44+G45</f>
        <v>10136.5362146194</v>
      </c>
      <c r="H48" s="7" t="n">
        <f aca="false">SUM(D48:G48)</f>
        <v>40798.1003499642</v>
      </c>
      <c r="I48" s="7" t="n">
        <f aca="false">SUM(Historicals!G5:I5)+C48</f>
        <v>38586.7748837613</v>
      </c>
    </row>
    <row r="49" customFormat="false" ht="15" hidden="false" customHeight="false" outlineLevel="0" collapsed="false">
      <c r="A49" s="13" t="s">
        <v>178</v>
      </c>
      <c r="C49" s="12" t="n">
        <f aca="false">C37+C42+C44+C47</f>
        <v>1512.40512869966</v>
      </c>
      <c r="D49" s="12" t="n">
        <f aca="false">D37+D42+D44+D47</f>
        <v>1545.05039650371</v>
      </c>
      <c r="E49" s="12" t="n">
        <f aca="false">E37+E42+E44+E47</f>
        <v>1588.97003831323</v>
      </c>
      <c r="F49" s="12" t="n">
        <f aca="false">F37+F42+F44+F47</f>
        <v>1622.15069197173</v>
      </c>
      <c r="G49" s="12" t="n">
        <f aca="false">G37+G42+G44+G47</f>
        <v>1588.75672159031</v>
      </c>
      <c r="H49" s="7" t="n">
        <f aca="false">SUM(D49:G49)</f>
        <v>6344.92784837898</v>
      </c>
      <c r="I49" s="7" t="n">
        <f aca="false">SUM(Historicals!G16:I16)+C49</f>
        <v>5927.30512869967</v>
      </c>
    </row>
    <row r="50" customFormat="false" ht="15" hidden="false" customHeight="false" outlineLevel="0" collapsed="false">
      <c r="A50" s="4" t="s">
        <v>179</v>
      </c>
      <c r="C50" s="11" t="n">
        <f aca="false">IFERROR(C49/C48,0)</f>
        <v>0.157914370801543</v>
      </c>
      <c r="D50" s="11" t="n">
        <f aca="false">IFERROR(D49/D48,0)</f>
        <v>0.156561021015109</v>
      </c>
      <c r="E50" s="11" t="n">
        <f aca="false">IFERROR(E49/E48,0)</f>
        <v>0.154863345723349</v>
      </c>
      <c r="F50" s="11" t="n">
        <f aca="false">IFERROR(F49/F48,0)</f>
        <v>0.154015003916207</v>
      </c>
      <c r="G50" s="11" t="n">
        <f aca="false">IFERROR(G49/G48,0)</f>
        <v>0.156735662750253</v>
      </c>
      <c r="H50" s="9" t="n">
        <f aca="false">IFERROR(H49/H48,0)</f>
        <v>0.15552017848754</v>
      </c>
      <c r="I50" s="9" t="n">
        <f aca="false">IFERROR(I49/I48,0)</f>
        <v>0.153609757398877</v>
      </c>
    </row>
    <row r="51" customFormat="false" ht="15" hidden="false" customHeight="false" outlineLevel="0" collapsed="false">
      <c r="A51" s="4" t="s">
        <v>180</v>
      </c>
      <c r="C51" s="12" t="n">
        <f aca="false">C49*Inputs!$D$17</f>
        <v>1020.87346187227</v>
      </c>
      <c r="D51" s="12" t="n">
        <f aca="false">D49*Inputs!$D$17</f>
        <v>1042.90901764</v>
      </c>
      <c r="E51" s="12" t="n">
        <f aca="false">E49*Inputs!$D$17</f>
        <v>1072.55477586143</v>
      </c>
      <c r="F51" s="12" t="n">
        <f aca="false">F49*Inputs!$D$17</f>
        <v>1094.95171708092</v>
      </c>
      <c r="G51" s="12" t="n">
        <f aca="false">G49*Inputs!$D$17</f>
        <v>1072.41078707346</v>
      </c>
      <c r="H51" s="7" t="n">
        <f aca="false">SUM(D51:G51)</f>
        <v>4282.82629765581</v>
      </c>
    </row>
    <row r="52" customFormat="false" ht="15" hidden="false" customHeight="false" outlineLevel="0" collapsed="false">
      <c r="A52" s="4" t="s">
        <v>181</v>
      </c>
      <c r="C52" s="12" t="n">
        <f aca="false">Calibration!$E$9</f>
        <v>40.3108</v>
      </c>
      <c r="D52" s="12" t="n">
        <f aca="false">Calibration!$E$9</f>
        <v>40.3108</v>
      </c>
      <c r="E52" s="12" t="n">
        <f aca="false">Calibration!$E$9</f>
        <v>40.3108</v>
      </c>
      <c r="F52" s="12" t="n">
        <f aca="false">Calibration!$E$9</f>
        <v>40.3108</v>
      </c>
      <c r="G52" s="12" t="n">
        <f aca="false">Calibration!$E$9</f>
        <v>40.3108</v>
      </c>
      <c r="H52" s="7" t="n">
        <f aca="false">SUM(D52:G52)</f>
        <v>161.2432</v>
      </c>
    </row>
    <row r="53" customFormat="false" ht="15" hidden="false" customHeight="false" outlineLevel="0" collapsed="false">
      <c r="A53" s="13" t="s">
        <v>182</v>
      </c>
      <c r="C53" s="12" t="n">
        <f aca="false">C49-C51-C52</f>
        <v>451.220866827391</v>
      </c>
      <c r="D53" s="12" t="n">
        <f aca="false">D49-D51-D52</f>
        <v>461.830578863705</v>
      </c>
      <c r="E53" s="12" t="n">
        <f aca="false">E49-E51-E52</f>
        <v>476.104462451798</v>
      </c>
      <c r="F53" s="12" t="n">
        <f aca="false">F49-F51-F52</f>
        <v>486.888174890814</v>
      </c>
      <c r="G53" s="12" t="n">
        <f aca="false">G49-G51-G52</f>
        <v>476.035134516851</v>
      </c>
      <c r="H53" s="7" t="n">
        <f aca="false">SUM(D53:G53)</f>
        <v>1900.85835072317</v>
      </c>
      <c r="I53" s="7" t="n">
        <f aca="false">SUM(Historicals!G28:I28)+C53</f>
        <v>1655.52086682739</v>
      </c>
    </row>
    <row r="54" customFormat="false" ht="15" hidden="false" customHeight="false" outlineLevel="0" collapsed="false">
      <c r="A54" s="4" t="s">
        <v>132</v>
      </c>
      <c r="C54" s="11" t="n">
        <f aca="false">IFERROR(C53/C48,0)</f>
        <v>0.0471132092357009</v>
      </c>
      <c r="D54" s="11" t="n">
        <f aca="false">IFERROR(D53/D48,0)</f>
        <v>0.0467976106970482</v>
      </c>
      <c r="E54" s="11" t="n">
        <f aca="false">IFERROR(E53/E48,0)</f>
        <v>0.0464018377888178</v>
      </c>
      <c r="F54" s="11" t="n">
        <f aca="false">IFERROR(F53/F48,0)</f>
        <v>0.046227569691084</v>
      </c>
      <c r="G54" s="11" t="n">
        <f aca="false">IFERROR(G53/G48,0)</f>
        <v>0.046962307876954</v>
      </c>
      <c r="H54" s="9" t="n">
        <f aca="false">IFERROR(H53/H48,0)</f>
        <v>0.0465918347770532</v>
      </c>
      <c r="I54" s="9" t="n">
        <f aca="false">IFERROR(I53/I48,0)</f>
        <v>0.0429038413242485</v>
      </c>
    </row>
    <row r="58" customFormat="false" ht="15" hidden="false" customHeight="false" outlineLevel="0" collapsed="false">
      <c r="A58" s="5" t="s">
        <v>184</v>
      </c>
      <c r="B58" s="6"/>
      <c r="C58" s="6" t="s">
        <v>66</v>
      </c>
      <c r="D58" s="6" t="s">
        <v>67</v>
      </c>
      <c r="E58" s="6" t="s">
        <v>68</v>
      </c>
      <c r="F58" s="6" t="s">
        <v>69</v>
      </c>
      <c r="G58" s="6" t="s">
        <v>70</v>
      </c>
      <c r="H58" s="6" t="s">
        <v>162</v>
      </c>
      <c r="I58" s="6" t="s">
        <v>163</v>
      </c>
    </row>
    <row r="59" customFormat="false" ht="15" hidden="false" customHeight="false" outlineLevel="0" collapsed="false">
      <c r="A59" s="4" t="s">
        <v>120</v>
      </c>
      <c r="C59" s="27" t="n">
        <f aca="false">Historicals!F19*(1+Inputs!$E$8)</f>
        <v>93527.04</v>
      </c>
      <c r="D59" s="27" t="n">
        <f aca="false">Historicals!G19*(1+Inputs!$E$8)</f>
        <v>90995.52</v>
      </c>
      <c r="E59" s="27" t="n">
        <f aca="false">Historicals!H19*(1+Inputs!$E$8)</f>
        <v>99925.44</v>
      </c>
      <c r="F59" s="27" t="n">
        <f aca="false">Historicals!I19*(1+Inputs!$E$8)</f>
        <v>101252.16</v>
      </c>
      <c r="G59" s="27" t="n">
        <f aca="false">C59*(1+Inputs!$E$8)</f>
        <v>89785.9584</v>
      </c>
      <c r="H59" s="28" t="n">
        <f aca="false">SUM(D59:G59)</f>
        <v>381959.0784</v>
      </c>
    </row>
    <row r="60" customFormat="false" ht="15" hidden="false" customHeight="false" outlineLevel="0" collapsed="false">
      <c r="A60" s="4" t="s">
        <v>164</v>
      </c>
      <c r="C60" s="29" t="n">
        <f aca="false">Historicals!$I$21*(1+Inputs!$E$9)^(C$3/4)</f>
        <v>46600.5908239626</v>
      </c>
      <c r="D60" s="29" t="n">
        <f aca="false">Historicals!$I$21*(1+Inputs!$E$9)^(D$3/4)</f>
        <v>46424.8469363659</v>
      </c>
      <c r="E60" s="29" t="n">
        <f aca="false">Historicals!$I$21*(1+Inputs!$E$9)^(E$3/4)</f>
        <v>46249.7658282207</v>
      </c>
      <c r="F60" s="29" t="n">
        <f aca="false">Historicals!$I$21*(1+Inputs!$E$9)^(F$3/4)</f>
        <v>46075.345</v>
      </c>
      <c r="G60" s="29" t="n">
        <f aca="false">Historicals!$I$21*(1+Inputs!$E$9)^(G$3/4)</f>
        <v>45901.5819616032</v>
      </c>
    </row>
    <row r="61" customFormat="false" ht="15" hidden="false" customHeight="false" outlineLevel="0" collapsed="false">
      <c r="A61" s="4" t="s">
        <v>165</v>
      </c>
      <c r="C61" s="12" t="n">
        <f aca="false">C59*C60*Calibration!$E$5/1000000</f>
        <v>4294.88840477459</v>
      </c>
      <c r="D61" s="12" t="n">
        <f aca="false">D59*D60*Calibration!$E$5/1000000</f>
        <v>4162.87876285287</v>
      </c>
      <c r="E61" s="12" t="n">
        <f aca="false">E59*E60*Calibration!$E$5/1000000</f>
        <v>4554.16623089207</v>
      </c>
      <c r="F61" s="12" t="n">
        <f aca="false">F59*F60*Calibration!$E$5/1000000</f>
        <v>4597.22927683189</v>
      </c>
      <c r="G61" s="12" t="n">
        <f aca="false">G59*G60*Calibration!$E$5/1000000</f>
        <v>4061.24647555485</v>
      </c>
      <c r="H61" s="7" t="n">
        <f aca="false">SUM(D61:G61)</f>
        <v>17375.5207461317</v>
      </c>
      <c r="I61" s="7" t="n">
        <f aca="false">SUM(Historicals!G6:I6)+C61</f>
        <v>18372.0884047746</v>
      </c>
    </row>
    <row r="62" customFormat="false" ht="15" hidden="false" customHeight="false" outlineLevel="0" collapsed="false">
      <c r="A62" s="4" t="s">
        <v>166</v>
      </c>
      <c r="C62" s="29" t="n">
        <f aca="false">Inputs!$E$10</f>
        <v>2400</v>
      </c>
      <c r="D62" s="29" t="n">
        <f aca="false">Inputs!$E$10</f>
        <v>2400</v>
      </c>
      <c r="E62" s="29" t="n">
        <f aca="false">Inputs!$E$10</f>
        <v>2400</v>
      </c>
      <c r="F62" s="29" t="n">
        <f aca="false">Inputs!$E$10</f>
        <v>2400</v>
      </c>
      <c r="G62" s="29" t="n">
        <f aca="false">Inputs!$E$10</f>
        <v>2400</v>
      </c>
    </row>
    <row r="63" customFormat="false" ht="15" hidden="false" customHeight="false" outlineLevel="0" collapsed="false">
      <c r="A63" s="4" t="s">
        <v>167</v>
      </c>
      <c r="C63" s="12" t="n">
        <f aca="false">C59*C62/1000000</f>
        <v>224.464896</v>
      </c>
      <c r="D63" s="12" t="n">
        <f aca="false">D59*D62/1000000</f>
        <v>218.389248</v>
      </c>
      <c r="E63" s="12" t="n">
        <f aca="false">E59*E62/1000000</f>
        <v>239.821056</v>
      </c>
      <c r="F63" s="12" t="n">
        <f aca="false">F59*F62/1000000</f>
        <v>243.005184</v>
      </c>
      <c r="G63" s="12" t="n">
        <f aca="false">G59*G62/1000000</f>
        <v>215.48630016</v>
      </c>
      <c r="H63" s="7" t="n">
        <f aca="false">SUM(D63:G63)</f>
        <v>916.70178816</v>
      </c>
    </row>
    <row r="64" customFormat="false" ht="15" hidden="false" customHeight="false" outlineLevel="0" collapsed="false">
      <c r="A64" s="4" t="s">
        <v>168</v>
      </c>
      <c r="C64" s="27" t="n">
        <f aca="false">Historicals!F20*(1+Inputs!$E$11)</f>
        <v>97906.9</v>
      </c>
      <c r="D64" s="27" t="n">
        <f aca="false">Historicals!G20*(1+Inputs!$E$11)</f>
        <v>107947.98</v>
      </c>
      <c r="E64" s="27" t="n">
        <f aca="false">Historicals!H20*(1+Inputs!$E$11)</f>
        <v>103991.72</v>
      </c>
      <c r="F64" s="27" t="n">
        <f aca="false">Historicals!I20*(1+Inputs!$E$11)</f>
        <v>107595.18</v>
      </c>
      <c r="G64" s="27" t="n">
        <f aca="false">C64*(1+Inputs!$E$11)</f>
        <v>95948.762</v>
      </c>
      <c r="H64" s="28" t="n">
        <f aca="false">SUM(D64:G64)</f>
        <v>415483.642</v>
      </c>
    </row>
    <row r="65" customFormat="false" ht="15" hidden="false" customHeight="false" outlineLevel="0" collapsed="false">
      <c r="A65" s="4" t="s">
        <v>169</v>
      </c>
      <c r="C65" s="29" t="n">
        <f aca="false">Historicals!$I$22*(1+Inputs!$E$12)^(C$3/4)</f>
        <v>29350.3857015279</v>
      </c>
      <c r="D65" s="29" t="n">
        <f aca="false">Historicals!$I$22*(1+Inputs!$E$12)^(D$3/4)</f>
        <v>29202.5201135108</v>
      </c>
      <c r="E65" s="29" t="n">
        <f aca="false">Historicals!$I$22*(1+Inputs!$E$12)^(E$3/4)</f>
        <v>29055.3994639875</v>
      </c>
      <c r="F65" s="29" t="n">
        <f aca="false">Historicals!$I$22*(1+Inputs!$E$12)^(F$3/4)</f>
        <v>28909.02</v>
      </c>
      <c r="G65" s="29" t="n">
        <f aca="false">Historicals!$I$22*(1+Inputs!$E$12)^(G$3/4)</f>
        <v>28763.3779874973</v>
      </c>
    </row>
    <row r="66" customFormat="false" ht="15" hidden="false" customHeight="false" outlineLevel="0" collapsed="false">
      <c r="A66" s="4" t="s">
        <v>170</v>
      </c>
      <c r="C66" s="12" t="n">
        <f aca="false">C64*C65*Calibration!$E$6/1000000</f>
        <v>3215.8978293192</v>
      </c>
      <c r="D66" s="12" t="n">
        <f aca="false">D64*D65*Calibration!$E$6/1000000</f>
        <v>3527.84894708805</v>
      </c>
      <c r="E66" s="12" t="n">
        <f aca="false">E64*E65*Calibration!$E$6/1000000</f>
        <v>3381.43265161535</v>
      </c>
      <c r="F66" s="12" t="n">
        <f aca="false">F64*F65*Calibration!$E$6/1000000</f>
        <v>3480.97829970524</v>
      </c>
      <c r="G66" s="12" t="n">
        <f aca="false">G64*G65*Calibration!$E$6/1000000</f>
        <v>3088.54827527816</v>
      </c>
      <c r="H66" s="7" t="n">
        <f aca="false">SUM(D66:G66)</f>
        <v>13478.8081736868</v>
      </c>
      <c r="I66" s="7" t="n">
        <f aca="false">SUM(Historicals!G7:I7)+C66</f>
        <v>13863.6978293192</v>
      </c>
    </row>
    <row r="67" customFormat="false" ht="15" hidden="false" customHeight="false" outlineLevel="0" collapsed="false">
      <c r="A67" s="4" t="s">
        <v>171</v>
      </c>
      <c r="C67" s="29" t="n">
        <f aca="false">Inputs!$E$13</f>
        <v>1750</v>
      </c>
      <c r="D67" s="29" t="n">
        <f aca="false">Inputs!$E$13</f>
        <v>1750</v>
      </c>
      <c r="E67" s="29" t="n">
        <f aca="false">Inputs!$E$13</f>
        <v>1750</v>
      </c>
      <c r="F67" s="29" t="n">
        <f aca="false">Inputs!$E$13</f>
        <v>1750</v>
      </c>
      <c r="G67" s="29" t="n">
        <f aca="false">Inputs!$E$13</f>
        <v>1750</v>
      </c>
    </row>
    <row r="68" customFormat="false" ht="15" hidden="false" customHeight="false" outlineLevel="0" collapsed="false">
      <c r="A68" s="4" t="s">
        <v>172</v>
      </c>
      <c r="C68" s="12" t="n">
        <f aca="false">C64*C67*Calibration!$E$7/1000000</f>
        <v>170.532981881155</v>
      </c>
      <c r="D68" s="12" t="n">
        <f aca="false">D64*D67*Calibration!$E$7/1000000</f>
        <v>188.022406157761</v>
      </c>
      <c r="E68" s="12" t="n">
        <f aca="false">E64*E67*Calibration!$E$7/1000000</f>
        <v>181.13144326447</v>
      </c>
      <c r="F68" s="12" t="n">
        <f aca="false">F64*F67*Calibration!$E$7/1000000</f>
        <v>187.407903645603</v>
      </c>
      <c r="G68" s="12" t="n">
        <f aca="false">G64*G67*Calibration!$E$7/1000000</f>
        <v>167.122322243532</v>
      </c>
      <c r="H68" s="7" t="n">
        <f aca="false">SUM(D68:G68)</f>
        <v>723.684075311366</v>
      </c>
    </row>
    <row r="69" customFormat="false" ht="15" hidden="false" customHeight="false" outlineLevel="0" collapsed="false">
      <c r="A69" s="4" t="s">
        <v>173</v>
      </c>
      <c r="C69" s="29" t="n">
        <f aca="false">Inputs!$E$14</f>
        <v>1700</v>
      </c>
      <c r="D69" s="29" t="n">
        <f aca="false">Inputs!$E$14</f>
        <v>1700</v>
      </c>
      <c r="E69" s="29" t="n">
        <f aca="false">Inputs!$E$14</f>
        <v>1700</v>
      </c>
      <c r="F69" s="29" t="n">
        <f aca="false">Inputs!$E$14</f>
        <v>1700</v>
      </c>
      <c r="G69" s="29" t="n">
        <f aca="false">Inputs!$E$14</f>
        <v>1700</v>
      </c>
    </row>
    <row r="70" customFormat="false" ht="15" hidden="false" customHeight="false" outlineLevel="0" collapsed="false">
      <c r="A70" s="4" t="s">
        <v>174</v>
      </c>
      <c r="C70" s="12" t="n">
        <f aca="false">(C59+C64)*C69*Calibration!$E$8/1000000</f>
        <v>315.043105379492</v>
      </c>
      <c r="D70" s="12" t="n">
        <f aca="false">(D59+D64)*D69*Calibration!$E$8/1000000</f>
        <v>327.401598875648</v>
      </c>
      <c r="E70" s="12" t="n">
        <f aca="false">(E59+E64)*E69*Calibration!$E$8/1000000</f>
        <v>335.586758160892</v>
      </c>
      <c r="F70" s="12" t="n">
        <f aca="false">(F59+F64)*F69*Calibration!$E$8/1000000</f>
        <v>343.700362348738</v>
      </c>
      <c r="G70" s="12" t="n">
        <f aca="false">(G59+G64)*G69*Calibration!$E$8/1000000</f>
        <v>305.663891635975</v>
      </c>
      <c r="H70" s="7" t="n">
        <f aca="false">SUM(D70:G70)</f>
        <v>1312.35261102125</v>
      </c>
      <c r="I70" s="7" t="n">
        <f aca="false">SUM(Historicals!G8:I8)+C70</f>
        <v>1402.54310537949</v>
      </c>
    </row>
    <row r="71" customFormat="false" ht="15" hidden="false" customHeight="false" outlineLevel="0" collapsed="false">
      <c r="A71" s="4" t="s">
        <v>175</v>
      </c>
      <c r="C71" s="12" t="n">
        <f aca="false">Historicals!F9*(1+Inputs!$E$15)</f>
        <v>1055.7</v>
      </c>
      <c r="D71" s="12" t="n">
        <f aca="false">Historicals!G9*(1+Inputs!$E$15)</f>
        <v>1063.758</v>
      </c>
      <c r="E71" s="12" t="n">
        <f aca="false">Historicals!H9*(1+Inputs!$E$15)</f>
        <v>1088.748</v>
      </c>
      <c r="F71" s="12" t="n">
        <f aca="false">Historicals!I9*(1+Inputs!$E$15)</f>
        <v>1108.332</v>
      </c>
      <c r="G71" s="12" t="n">
        <f aca="false">C71*(1+Inputs!$E$15)</f>
        <v>1076.814</v>
      </c>
      <c r="H71" s="7" t="n">
        <f aca="false">SUM(D71:G71)</f>
        <v>4337.652</v>
      </c>
      <c r="I71" s="7" t="n">
        <f aca="false">SUM(Historicals!G9:I9)+C71</f>
        <v>4252.6</v>
      </c>
    </row>
    <row r="72" customFormat="false" ht="15" hidden="false" customHeight="false" outlineLevel="0" collapsed="false">
      <c r="A72" s="4" t="s">
        <v>96</v>
      </c>
      <c r="C72" s="11" t="n">
        <f aca="false">Inputs!$E$16</f>
        <v>0.585</v>
      </c>
      <c r="D72" s="11" t="n">
        <f aca="false">Inputs!$E$16</f>
        <v>0.585</v>
      </c>
      <c r="E72" s="11" t="n">
        <f aca="false">Inputs!$E$16</f>
        <v>0.585</v>
      </c>
      <c r="F72" s="11" t="n">
        <f aca="false">Inputs!$E$16</f>
        <v>0.585</v>
      </c>
      <c r="G72" s="11" t="n">
        <f aca="false">Inputs!$E$16</f>
        <v>0.585</v>
      </c>
      <c r="H72" s="9" t="n">
        <f aca="false">IFERROR(H73/H71,0)</f>
        <v>0.585</v>
      </c>
    </row>
    <row r="73" customFormat="false" ht="15" hidden="false" customHeight="false" outlineLevel="0" collapsed="false">
      <c r="A73" s="4" t="s">
        <v>176</v>
      </c>
      <c r="C73" s="12" t="n">
        <f aca="false">C71*C72</f>
        <v>617.5845</v>
      </c>
      <c r="D73" s="12" t="n">
        <f aca="false">D71*D72</f>
        <v>622.29843</v>
      </c>
      <c r="E73" s="12" t="n">
        <f aca="false">E71*E72</f>
        <v>636.91758</v>
      </c>
      <c r="F73" s="12" t="n">
        <f aca="false">F71*F72</f>
        <v>648.37422</v>
      </c>
      <c r="G73" s="12" t="n">
        <f aca="false">G71*G72</f>
        <v>629.93619</v>
      </c>
      <c r="H73" s="7" t="n">
        <f aca="false">SUM(D73:G73)</f>
        <v>2537.52642</v>
      </c>
    </row>
    <row r="74" customFormat="false" ht="15" hidden="false" customHeight="false" outlineLevel="0" collapsed="false">
      <c r="A74" s="13" t="s">
        <v>177</v>
      </c>
      <c r="C74" s="12" t="n">
        <f aca="false">C61+C66+C70+C71</f>
        <v>8881.52933947328</v>
      </c>
      <c r="D74" s="12" t="n">
        <f aca="false">D61+D66+D70+D71</f>
        <v>9081.88730881657</v>
      </c>
      <c r="E74" s="12" t="n">
        <f aca="false">E61+E66+E70+E71</f>
        <v>9359.93364066831</v>
      </c>
      <c r="F74" s="12" t="n">
        <f aca="false">F61+F66+F70+F71</f>
        <v>9530.23993888587</v>
      </c>
      <c r="G74" s="12" t="n">
        <f aca="false">G61+G66+G70+G71</f>
        <v>8532.27264246899</v>
      </c>
      <c r="H74" s="7" t="n">
        <f aca="false">SUM(D74:G74)</f>
        <v>36504.3335308397</v>
      </c>
      <c r="I74" s="7" t="n">
        <f aca="false">SUM(Historicals!G5:I5)+C74</f>
        <v>37890.9293394733</v>
      </c>
    </row>
    <row r="75" customFormat="false" ht="15" hidden="false" customHeight="false" outlineLevel="0" collapsed="false">
      <c r="A75" s="13" t="s">
        <v>178</v>
      </c>
      <c r="C75" s="12" t="n">
        <f aca="false">C63+C68+C70+C73</f>
        <v>1327.62548326065</v>
      </c>
      <c r="D75" s="12" t="n">
        <f aca="false">D63+D68+D70+D73</f>
        <v>1356.11168303341</v>
      </c>
      <c r="E75" s="12" t="n">
        <f aca="false">E63+E68+E70+E73</f>
        <v>1393.45683742536</v>
      </c>
      <c r="F75" s="12" t="n">
        <f aca="false">F63+F68+F70+F73</f>
        <v>1422.48766999434</v>
      </c>
      <c r="G75" s="12" t="n">
        <f aca="false">G63+G68+G70+G73</f>
        <v>1318.20870403951</v>
      </c>
      <c r="H75" s="7" t="n">
        <f aca="false">SUM(D75:G75)</f>
        <v>5490.26489449262</v>
      </c>
      <c r="I75" s="7" t="n">
        <f aca="false">SUM(Historicals!G16:I16)+C75</f>
        <v>5742.52548326065</v>
      </c>
    </row>
    <row r="76" customFormat="false" ht="15" hidden="false" customHeight="false" outlineLevel="0" collapsed="false">
      <c r="A76" s="4" t="s">
        <v>179</v>
      </c>
      <c r="C76" s="11" t="n">
        <f aca="false">IFERROR(C75/C74,0)</f>
        <v>0.149481630079193</v>
      </c>
      <c r="D76" s="11" t="n">
        <f aca="false">IFERROR(D75/D74,0)</f>
        <v>0.149320470175501</v>
      </c>
      <c r="E76" s="11" t="n">
        <f aca="false">IFERROR(E75/E74,0)</f>
        <v>0.148874649214486</v>
      </c>
      <c r="F76" s="11" t="n">
        <f aca="false">IFERROR(F75/F74,0)</f>
        <v>0.149260425667797</v>
      </c>
      <c r="G76" s="11" t="n">
        <f aca="false">IFERROR(G75/G74,0)</f>
        <v>0.154496786410479</v>
      </c>
      <c r="H76" s="9" t="n">
        <f aca="false">IFERROR(H75/H74,0)</f>
        <v>0.150400359723163</v>
      </c>
      <c r="I76" s="9" t="n">
        <f aca="false">IFERROR(I75/I74,0)</f>
        <v>0.151554094432788</v>
      </c>
    </row>
    <row r="77" customFormat="false" ht="15" hidden="false" customHeight="false" outlineLevel="0" collapsed="false">
      <c r="A77" s="4" t="s">
        <v>180</v>
      </c>
      <c r="C77" s="12" t="n">
        <f aca="false">C75*Inputs!$E$17</f>
        <v>942.614093115059</v>
      </c>
      <c r="D77" s="12" t="n">
        <f aca="false">D75*Inputs!$E$17</f>
        <v>962.839294953721</v>
      </c>
      <c r="E77" s="12" t="n">
        <f aca="false">E75*Inputs!$E$17</f>
        <v>989.354354572007</v>
      </c>
      <c r="F77" s="12" t="n">
        <f aca="false">F75*Inputs!$E$17</f>
        <v>1009.96624569598</v>
      </c>
      <c r="G77" s="12" t="n">
        <f aca="false">G75*Inputs!$E$17</f>
        <v>935.92817986805</v>
      </c>
      <c r="H77" s="7" t="n">
        <f aca="false">SUM(D77:G77)</f>
        <v>3898.08807508976</v>
      </c>
    </row>
    <row r="78" customFormat="false" ht="15" hidden="false" customHeight="false" outlineLevel="0" collapsed="false">
      <c r="A78" s="4" t="s">
        <v>181</v>
      </c>
      <c r="C78" s="12" t="n">
        <f aca="false">Calibration!$E$9</f>
        <v>40.3108</v>
      </c>
      <c r="D78" s="12" t="n">
        <f aca="false">Calibration!$E$9</f>
        <v>40.3108</v>
      </c>
      <c r="E78" s="12" t="n">
        <f aca="false">Calibration!$E$9</f>
        <v>40.3108</v>
      </c>
      <c r="F78" s="12" t="n">
        <f aca="false">Calibration!$E$9</f>
        <v>40.3108</v>
      </c>
      <c r="G78" s="12" t="n">
        <f aca="false">Calibration!$E$9</f>
        <v>40.3108</v>
      </c>
      <c r="H78" s="7" t="n">
        <f aca="false">SUM(D78:G78)</f>
        <v>161.2432</v>
      </c>
    </row>
    <row r="79" customFormat="false" ht="15" hidden="false" customHeight="false" outlineLevel="0" collapsed="false">
      <c r="A79" s="13" t="s">
        <v>182</v>
      </c>
      <c r="C79" s="12" t="n">
        <f aca="false">C75-C77-C78</f>
        <v>344.700590145588</v>
      </c>
      <c r="D79" s="12" t="n">
        <f aca="false">D75-D77-D78</f>
        <v>352.961588079689</v>
      </c>
      <c r="E79" s="12" t="n">
        <f aca="false">E75-E77-E78</f>
        <v>363.791682853355</v>
      </c>
      <c r="F79" s="12" t="n">
        <f aca="false">F75-F77-F78</f>
        <v>372.210624298359</v>
      </c>
      <c r="G79" s="12" t="n">
        <f aca="false">G75-G77-G78</f>
        <v>341.969724171457</v>
      </c>
      <c r="H79" s="7" t="n">
        <f aca="false">SUM(D79:G79)</f>
        <v>1430.93361940286</v>
      </c>
      <c r="I79" s="7" t="n">
        <f aca="false">SUM(Historicals!G28:I28)+C79</f>
        <v>1549.00059014559</v>
      </c>
    </row>
    <row r="80" customFormat="false" ht="15" hidden="false" customHeight="false" outlineLevel="0" collapsed="false">
      <c r="A80" s="4" t="s">
        <v>132</v>
      </c>
      <c r="C80" s="11" t="n">
        <f aca="false">IFERROR(C79/C74,0)</f>
        <v>0.038810949890532</v>
      </c>
      <c r="D80" s="11" t="n">
        <f aca="false">IFERROR(D79/D74,0)</f>
        <v>0.0388643435089795</v>
      </c>
      <c r="E80" s="11" t="n">
        <f aca="false">IFERROR(E79/E74,0)</f>
        <v>0.0388669083371172</v>
      </c>
      <c r="F80" s="11" t="n">
        <f aca="false">IFERROR(F79/F74,0)</f>
        <v>0.0390557453626789</v>
      </c>
      <c r="G80" s="11" t="n">
        <f aca="false">IFERROR(G79/G74,0)</f>
        <v>0.0400795589289211</v>
      </c>
      <c r="H80" s="9" t="n">
        <f aca="false">IFERROR(H79/H74,0)</f>
        <v>0.0391990068300788</v>
      </c>
      <c r="I80" s="9" t="n">
        <f aca="false">IFERROR(I79/I74,0)</f>
        <v>0.0408805119628433</v>
      </c>
    </row>
    <row r="85" customFormat="false" ht="15" hidden="false" customHeight="false" outlineLevel="0" collapsed="false">
      <c r="A85" s="3" t="s">
        <v>133</v>
      </c>
    </row>
    <row r="86" customFormat="false" ht="15" hidden="false" customHeight="false" outlineLevel="0" collapsed="false">
      <c r="A86" s="2" t="s">
        <v>185</v>
      </c>
    </row>
    <row r="87" customFormat="false" ht="15" hidden="false" customHeight="false" outlineLevel="0" collapsed="false">
      <c r="A87" s="2" t="s">
        <v>186</v>
      </c>
    </row>
    <row r="88" customFormat="false" ht="15" hidden="false" customHeight="false" outlineLevel="0" collapsed="false">
      <c r="A88" s="2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3"/>
  </cols>
  <sheetData>
    <row r="1" customFormat="false" ht="19.7" hidden="false" customHeight="false" outlineLevel="0" collapsed="false">
      <c r="A1" s="1" t="s">
        <v>188</v>
      </c>
    </row>
    <row r="2" customFormat="false" ht="15" hidden="false" customHeight="false" outlineLevel="0" collapsed="false">
      <c r="A2" s="2" t="s">
        <v>189</v>
      </c>
    </row>
    <row r="4" customFormat="false" ht="15" hidden="false" customHeight="false" outlineLevel="0" collapsed="false">
      <c r="A4" s="3" t="s">
        <v>190</v>
      </c>
    </row>
    <row r="5" customFormat="false" ht="15" hidden="false" customHeight="false" outlineLevel="0" collapsed="false">
      <c r="A5" s="5" t="s">
        <v>191</v>
      </c>
      <c r="B5" s="6" t="s">
        <v>192</v>
      </c>
    </row>
    <row r="6" customFormat="false" ht="15" hidden="false" customHeight="false" outlineLevel="0" collapsed="false">
      <c r="A6" s="4" t="s">
        <v>193</v>
      </c>
      <c r="B6" s="23" t="n">
        <v>-0.057</v>
      </c>
    </row>
    <row r="7" customFormat="false" ht="15" hidden="false" customHeight="false" outlineLevel="0" collapsed="false">
      <c r="A7" s="4" t="s">
        <v>194</v>
      </c>
      <c r="B7" s="23" t="n">
        <v>0.067</v>
      </c>
    </row>
    <row r="8" customFormat="false" ht="15" hidden="false" customHeight="false" outlineLevel="0" collapsed="false">
      <c r="A8" s="4" t="s">
        <v>195</v>
      </c>
      <c r="B8" s="23" t="n">
        <v>0.003</v>
      </c>
    </row>
    <row r="9" customFormat="false" ht="15" hidden="false" customHeight="false" outlineLevel="0" collapsed="false">
      <c r="A9" s="4" t="s">
        <v>196</v>
      </c>
      <c r="B9" s="23" t="n">
        <v>0.114</v>
      </c>
    </row>
    <row r="12" customFormat="false" ht="15" hidden="false" customHeight="false" outlineLevel="0" collapsed="false">
      <c r="A12" s="3" t="s">
        <v>197</v>
      </c>
    </row>
    <row r="13" customFormat="false" ht="15" hidden="false" customHeight="false" outlineLevel="0" collapsed="false">
      <c r="A13" s="5" t="s">
        <v>191</v>
      </c>
      <c r="B13" s="6" t="s">
        <v>63</v>
      </c>
      <c r="C13" s="6" t="s">
        <v>64</v>
      </c>
      <c r="D13" s="6" t="s">
        <v>65</v>
      </c>
    </row>
    <row r="14" customFormat="false" ht="15" hidden="false" customHeight="false" outlineLevel="0" collapsed="false">
      <c r="A14" s="4" t="s">
        <v>193</v>
      </c>
      <c r="B14" s="8" t="n">
        <f aca="false">Historicals!C6*(1+$B$6)</f>
        <v>4319.3172</v>
      </c>
      <c r="C14" s="8" t="n">
        <f aca="false">Historicals!D6*(1+$B$6)</f>
        <v>4435.4005</v>
      </c>
      <c r="D14" s="8" t="n">
        <f aca="false">Historicals!E6*(1+$B$6)</f>
        <v>4519.2332</v>
      </c>
    </row>
    <row r="15" customFormat="false" ht="15" hidden="false" customHeight="false" outlineLevel="0" collapsed="false">
      <c r="A15" s="4" t="s">
        <v>194</v>
      </c>
      <c r="B15" s="8" t="n">
        <f aca="false">Historicals!C7*(1+$B$7)</f>
        <v>3468.2835</v>
      </c>
      <c r="C15" s="8" t="n">
        <f aca="false">Historicals!D7*(1+$B$7)</f>
        <v>3711.3461</v>
      </c>
      <c r="D15" s="8" t="n">
        <f aca="false">Historicals!E7*(1+$B$7)</f>
        <v>3695.3411</v>
      </c>
    </row>
    <row r="16" customFormat="false" ht="15" hidden="false" customHeight="false" outlineLevel="0" collapsed="false">
      <c r="A16" s="4" t="s">
        <v>195</v>
      </c>
      <c r="B16" s="8" t="n">
        <f aca="false">Historicals!C8*(1+$B$8)</f>
        <v>365.3929</v>
      </c>
      <c r="C16" s="8" t="n">
        <f aca="false">Historicals!D8*(1+$B$8)</f>
        <v>374.9214</v>
      </c>
      <c r="D16" s="8" t="n">
        <f aca="false">Historicals!E8*(1+$B$8)</f>
        <v>379.7358</v>
      </c>
    </row>
    <row r="17" customFormat="false" ht="15" hidden="false" customHeight="false" outlineLevel="0" collapsed="false">
      <c r="A17" s="4" t="s">
        <v>196</v>
      </c>
      <c r="B17" s="8" t="n">
        <f aca="false">Historicals!C9*(1+$B$9)</f>
        <v>1095.1734</v>
      </c>
      <c r="C17" s="8" t="n">
        <f aca="false">Historicals!D9*(1+$B$9)</f>
        <v>1144.5236</v>
      </c>
      <c r="D17" s="8" t="n">
        <f aca="false">Historicals!E9*(1+$B$9)</f>
        <v>1160.231</v>
      </c>
    </row>
    <row r="18" customFormat="false" ht="15" hidden="false" customHeight="false" outlineLevel="0" collapsed="false">
      <c r="A18" s="13" t="s">
        <v>198</v>
      </c>
      <c r="B18" s="30" t="n">
        <f aca="false">SUM(B14:B17)</f>
        <v>9248.167</v>
      </c>
      <c r="C18" s="30" t="n">
        <f aca="false">SUM(C14:C17)</f>
        <v>9666.1916</v>
      </c>
      <c r="D18" s="30" t="n">
        <f aca="false">SUM(D14:D17)</f>
        <v>9754.5411</v>
      </c>
    </row>
    <row r="21" customFormat="false" ht="15" hidden="false" customHeight="false" outlineLevel="0" collapsed="false">
      <c r="A21" s="3" t="s">
        <v>199</v>
      </c>
    </row>
    <row r="22" customFormat="false" ht="15" hidden="false" customHeight="false" outlineLevel="0" collapsed="false">
      <c r="A22" s="5" t="s">
        <v>191</v>
      </c>
      <c r="B22" s="6" t="s">
        <v>63</v>
      </c>
      <c r="C22" s="6" t="s">
        <v>64</v>
      </c>
      <c r="D22" s="6" t="s">
        <v>65</v>
      </c>
    </row>
    <row r="23" customFormat="false" ht="15" hidden="false" customHeight="false" outlineLevel="0" collapsed="false">
      <c r="A23" s="4" t="s">
        <v>193</v>
      </c>
      <c r="B23" s="8" t="n">
        <f aca="false">Historicals!C6</f>
        <v>4580.4</v>
      </c>
      <c r="C23" s="8" t="n">
        <f aca="false">Historicals!D6</f>
        <v>4703.5</v>
      </c>
      <c r="D23" s="8" t="n">
        <f aca="false">Historicals!E6</f>
        <v>4792.4</v>
      </c>
    </row>
    <row r="24" customFormat="false" ht="15" hidden="false" customHeight="false" outlineLevel="0" collapsed="false">
      <c r="A24" s="4" t="s">
        <v>194</v>
      </c>
      <c r="B24" s="8" t="n">
        <f aca="false">Historicals!C7</f>
        <v>3250.5</v>
      </c>
      <c r="C24" s="8" t="n">
        <f aca="false">Historicals!D7</f>
        <v>3478.3</v>
      </c>
      <c r="D24" s="8" t="n">
        <f aca="false">Historicals!E7</f>
        <v>3463.3</v>
      </c>
    </row>
    <row r="25" customFormat="false" ht="15" hidden="false" customHeight="false" outlineLevel="0" collapsed="false">
      <c r="A25" s="4" t="s">
        <v>195</v>
      </c>
      <c r="B25" s="8" t="n">
        <f aca="false">Historicals!C8</f>
        <v>364.3</v>
      </c>
      <c r="C25" s="8" t="n">
        <f aca="false">Historicals!D8</f>
        <v>373.8</v>
      </c>
      <c r="D25" s="8" t="n">
        <f aca="false">Historicals!E8</f>
        <v>378.6</v>
      </c>
    </row>
    <row r="26" customFormat="false" ht="15" hidden="false" customHeight="false" outlineLevel="0" collapsed="false">
      <c r="A26" s="4" t="s">
        <v>196</v>
      </c>
      <c r="B26" s="8" t="n">
        <f aca="false">Historicals!C9</f>
        <v>983.1</v>
      </c>
      <c r="C26" s="8" t="n">
        <f aca="false">Historicals!D9</f>
        <v>1027.4</v>
      </c>
      <c r="D26" s="8" t="n">
        <f aca="false">Historicals!E9</f>
        <v>1041.5</v>
      </c>
    </row>
    <row r="27" customFormat="false" ht="15" hidden="false" customHeight="false" outlineLevel="0" collapsed="false">
      <c r="A27" s="13" t="s">
        <v>198</v>
      </c>
      <c r="B27" s="30" t="n">
        <f aca="false">SUM(B23:B26)</f>
        <v>9178.3</v>
      </c>
      <c r="C27" s="30" t="n">
        <f aca="false">SUM(C23:C26)</f>
        <v>9583</v>
      </c>
      <c r="D27" s="30" t="n">
        <f aca="false">SUM(D23:D26)</f>
        <v>9675.8</v>
      </c>
    </row>
    <row r="30" customFormat="false" ht="15" hidden="false" customHeight="false" outlineLevel="0" collapsed="false">
      <c r="A30" s="3" t="s">
        <v>200</v>
      </c>
    </row>
    <row r="31" customFormat="false" ht="15" hidden="false" customHeight="false" outlineLevel="0" collapsed="false">
      <c r="A31" s="5" t="s">
        <v>191</v>
      </c>
      <c r="B31" s="6" t="s">
        <v>63</v>
      </c>
      <c r="C31" s="6" t="s">
        <v>64</v>
      </c>
      <c r="D31" s="6" t="s">
        <v>65</v>
      </c>
    </row>
    <row r="32" customFormat="false" ht="15" hidden="false" customHeight="false" outlineLevel="0" collapsed="false">
      <c r="A32" s="4" t="s">
        <v>193</v>
      </c>
      <c r="B32" s="8" t="n">
        <f aca="false">Historicals!G6</f>
        <v>4379.4</v>
      </c>
      <c r="C32" s="8" t="n">
        <f aca="false">Historicals!H6</f>
        <v>4829.2</v>
      </c>
      <c r="D32" s="8" t="n">
        <f aca="false">Historicals!I6</f>
        <v>4868.6</v>
      </c>
    </row>
    <row r="33" customFormat="false" ht="15" hidden="false" customHeight="false" outlineLevel="0" collapsed="false">
      <c r="A33" s="4" t="s">
        <v>194</v>
      </c>
      <c r="B33" s="8" t="n">
        <f aca="false">Historicals!G7</f>
        <v>3489.4</v>
      </c>
      <c r="C33" s="8" t="n">
        <f aca="false">Historicals!H7</f>
        <v>3528.3</v>
      </c>
      <c r="D33" s="8" t="n">
        <f aca="false">Historicals!I7</f>
        <v>3630.1</v>
      </c>
    </row>
    <row r="34" customFormat="false" ht="15" hidden="false" customHeight="false" outlineLevel="0" collapsed="false">
      <c r="A34" s="4" t="s">
        <v>195</v>
      </c>
      <c r="B34" s="8" t="n">
        <f aca="false">Historicals!G8</f>
        <v>359.7</v>
      </c>
      <c r="C34" s="8" t="n">
        <f aca="false">Historicals!H8</f>
        <v>366.4</v>
      </c>
      <c r="D34" s="8" t="n">
        <f aca="false">Historicals!I8</f>
        <v>361.4</v>
      </c>
    </row>
    <row r="35" customFormat="false" ht="15" hidden="false" customHeight="false" outlineLevel="0" collapsed="false">
      <c r="A35" s="4" t="s">
        <v>196</v>
      </c>
      <c r="B35" s="8" t="n">
        <f aca="false">Historicals!G9</f>
        <v>1042.9</v>
      </c>
      <c r="C35" s="8" t="n">
        <f aca="false">Historicals!H9</f>
        <v>1067.4</v>
      </c>
      <c r="D35" s="8" t="n">
        <f aca="false">Historicals!I9</f>
        <v>1086.6</v>
      </c>
    </row>
    <row r="36" customFormat="false" ht="15" hidden="false" customHeight="false" outlineLevel="0" collapsed="false">
      <c r="A36" s="13" t="s">
        <v>198</v>
      </c>
      <c r="B36" s="30" t="n">
        <f aca="false">SUM(B32:B35)</f>
        <v>9271.4</v>
      </c>
      <c r="C36" s="30" t="n">
        <f aca="false">SUM(C32:C35)</f>
        <v>9791.3</v>
      </c>
      <c r="D36" s="30" t="n">
        <f aca="false">SUM(D32:D35)</f>
        <v>9946.7</v>
      </c>
    </row>
    <row r="39" customFormat="false" ht="15" hidden="false" customHeight="false" outlineLevel="0" collapsed="false">
      <c r="A39" s="3" t="s">
        <v>201</v>
      </c>
    </row>
    <row r="40" customFormat="false" ht="15" hidden="false" customHeight="false" outlineLevel="0" collapsed="false">
      <c r="A40" s="5" t="s">
        <v>191</v>
      </c>
      <c r="B40" s="6" t="s">
        <v>63</v>
      </c>
      <c r="C40" s="6" t="s">
        <v>64</v>
      </c>
      <c r="D40" s="6" t="s">
        <v>65</v>
      </c>
    </row>
    <row r="41" customFormat="false" ht="15" hidden="false" customHeight="false" outlineLevel="0" collapsed="false">
      <c r="A41" s="4" t="s">
        <v>193</v>
      </c>
      <c r="B41" s="11" t="n">
        <f aca="false">IFERROR(ABS(B14-B32)/B32,0)</f>
        <v>0.0137194136183039</v>
      </c>
      <c r="C41" s="11" t="n">
        <f aca="false">IFERROR(ABS(C14-C32)/C32,0)</f>
        <v>0.081545494077694</v>
      </c>
      <c r="D41" s="11" t="n">
        <f aca="false">IFERROR(ABS(D14-D32)/D32,0)</f>
        <v>0.0717591915540403</v>
      </c>
    </row>
    <row r="42" customFormat="false" ht="15" hidden="false" customHeight="false" outlineLevel="0" collapsed="false">
      <c r="A42" s="4" t="s">
        <v>194</v>
      </c>
      <c r="B42" s="11" t="n">
        <f aca="false">IFERROR(ABS(B15-B33)/B33,0)</f>
        <v>0.0060516134579011</v>
      </c>
      <c r="C42" s="11" t="n">
        <f aca="false">IFERROR(ABS(C15-C33)/C33,0)</f>
        <v>0.0518794036788255</v>
      </c>
      <c r="D42" s="11" t="n">
        <f aca="false">IFERROR(ABS(D15-D33)/D33,0)</f>
        <v>0.0179722597173632</v>
      </c>
    </row>
    <row r="43" customFormat="false" ht="15" hidden="false" customHeight="false" outlineLevel="0" collapsed="false">
      <c r="A43" s="4" t="s">
        <v>195</v>
      </c>
      <c r="B43" s="11" t="n">
        <f aca="false">IFERROR(ABS(B16-B34)/B34,0)</f>
        <v>0.0158268001112038</v>
      </c>
      <c r="C43" s="11" t="n">
        <f aca="false">IFERROR(ABS(C16-C34)/C34,0)</f>
        <v>0.0232570960698689</v>
      </c>
      <c r="D43" s="11" t="n">
        <f aca="false">IFERROR(ABS(D16-D34)/D34,0)</f>
        <v>0.0507354731599336</v>
      </c>
    </row>
    <row r="44" customFormat="false" ht="15" hidden="false" customHeight="false" outlineLevel="0" collapsed="false">
      <c r="A44" s="4" t="s">
        <v>196</v>
      </c>
      <c r="B44" s="11" t="n">
        <f aca="false">IFERROR(ABS(B17-B35)/B35,0)</f>
        <v>0.0501231182280181</v>
      </c>
      <c r="C44" s="11" t="n">
        <f aca="false">IFERROR(ABS(C17-C35)/C35,0)</f>
        <v>0.0722537005808508</v>
      </c>
      <c r="D44" s="11" t="n">
        <f aca="false">IFERROR(ABS(D17-D35)/D35,0)</f>
        <v>0.0677627461807474</v>
      </c>
    </row>
    <row r="45" customFormat="false" ht="15" hidden="false" customHeight="false" outlineLevel="0" collapsed="false">
      <c r="A45" s="13" t="s">
        <v>198</v>
      </c>
      <c r="B45" s="31" t="n">
        <f aca="false">IFERROR(ABS(B18-B36)/B36,0)</f>
        <v>0.00250587829238305</v>
      </c>
      <c r="C45" s="31" t="n">
        <f aca="false">IFERROR(ABS(C18-C36)/C36,0)</f>
        <v>0.0127775065619478</v>
      </c>
      <c r="D45" s="31" t="n">
        <f aca="false">IFERROR(ABS(D18-D36)/D36,0)</f>
        <v>0.0193188595212483</v>
      </c>
    </row>
    <row r="48" customFormat="false" ht="15" hidden="false" customHeight="false" outlineLevel="0" collapsed="false">
      <c r="A48" s="3" t="s">
        <v>202</v>
      </c>
    </row>
    <row r="49" customFormat="false" ht="15" hidden="false" customHeight="false" outlineLevel="0" collapsed="false">
      <c r="A49" s="5" t="s">
        <v>191</v>
      </c>
      <c r="B49" s="6" t="s">
        <v>63</v>
      </c>
      <c r="C49" s="6" t="s">
        <v>64</v>
      </c>
      <c r="D49" s="6" t="s">
        <v>65</v>
      </c>
    </row>
    <row r="50" customFormat="false" ht="15" hidden="false" customHeight="false" outlineLevel="0" collapsed="false">
      <c r="A50" s="4" t="s">
        <v>193</v>
      </c>
      <c r="B50" s="11" t="n">
        <f aca="false">IFERROR(ABS(B23-B32)/B32,0)</f>
        <v>0.0458966981778326</v>
      </c>
      <c r="C50" s="11" t="n">
        <f aca="false">IFERROR(ABS(C23-C32)/C32,0)</f>
        <v>0.0260291559678621</v>
      </c>
      <c r="D50" s="11" t="n">
        <f aca="false">IFERROR(ABS(D23-D32)/D32,0)</f>
        <v>0.0156513166002548</v>
      </c>
    </row>
    <row r="51" customFormat="false" ht="15" hidden="false" customHeight="false" outlineLevel="0" collapsed="false">
      <c r="A51" s="4" t="s">
        <v>194</v>
      </c>
      <c r="B51" s="11" t="n">
        <f aca="false">IFERROR(ABS(B24-B33)/B33,0)</f>
        <v>0.0684644924628876</v>
      </c>
      <c r="C51" s="11" t="n">
        <f aca="false">IFERROR(ABS(C24-C33)/C33,0)</f>
        <v>0.0141711305727971</v>
      </c>
      <c r="D51" s="11" t="n">
        <f aca="false">IFERROR(ABS(D24-D33)/D33,0)</f>
        <v>0.0459491474064075</v>
      </c>
    </row>
    <row r="52" customFormat="false" ht="15" hidden="false" customHeight="false" outlineLevel="0" collapsed="false">
      <c r="A52" s="4" t="s">
        <v>195</v>
      </c>
      <c r="B52" s="11" t="n">
        <f aca="false">IFERROR(ABS(B25-B34)/B34,0)</f>
        <v>0.0127884348067835</v>
      </c>
      <c r="C52" s="11" t="n">
        <f aca="false">IFERROR(ABS(C25-C34)/C34,0)</f>
        <v>0.0201965065502184</v>
      </c>
      <c r="D52" s="11" t="n">
        <f aca="false">IFERROR(ABS(D25-D34)/D34,0)</f>
        <v>0.0475926950747096</v>
      </c>
    </row>
    <row r="53" customFormat="false" ht="15" hidden="false" customHeight="false" outlineLevel="0" collapsed="false">
      <c r="A53" s="4" t="s">
        <v>196</v>
      </c>
      <c r="B53" s="11" t="n">
        <f aca="false">IFERROR(ABS(B26-B35)/B35,0)</f>
        <v>0.0573401093105763</v>
      </c>
      <c r="C53" s="11" t="n">
        <f aca="false">IFERROR(ABS(C26-C35)/C35,0)</f>
        <v>0.0374742364624321</v>
      </c>
      <c r="D53" s="11" t="n">
        <f aca="false">IFERROR(ABS(D26-D35)/D35,0)</f>
        <v>0.0415056138413399</v>
      </c>
    </row>
    <row r="54" customFormat="false" ht="15" hidden="false" customHeight="false" outlineLevel="0" collapsed="false">
      <c r="A54" s="13" t="s">
        <v>198</v>
      </c>
      <c r="B54" s="31" t="n">
        <f aca="false">IFERROR(ABS(B27-B36)/B36,0)</f>
        <v>0.0100416334102725</v>
      </c>
      <c r="C54" s="31" t="n">
        <f aca="false">IFERROR(ABS(C27-C36)/C36,0)</f>
        <v>0.0212739881323215</v>
      </c>
      <c r="D54" s="31" t="n">
        <f aca="false">IFERROR(ABS(D27-D36)/D36,0)</f>
        <v>0.0272351634210343</v>
      </c>
    </row>
    <row r="57" customFormat="false" ht="15" hidden="false" customHeight="false" outlineLevel="0" collapsed="false">
      <c r="A57" s="3" t="s">
        <v>203</v>
      </c>
    </row>
    <row r="58" customFormat="false" ht="15" hidden="false" customHeight="false" outlineLevel="0" collapsed="false">
      <c r="A58" s="5" t="s">
        <v>204</v>
      </c>
      <c r="B58" s="6" t="s">
        <v>205</v>
      </c>
      <c r="C58" s="6" t="s">
        <v>206</v>
      </c>
    </row>
    <row r="59" customFormat="false" ht="15" hidden="false" customHeight="false" outlineLevel="0" collapsed="false">
      <c r="A59" s="4" t="s">
        <v>207</v>
      </c>
      <c r="B59" s="9" t="n">
        <f aca="false">AVERAGE(B41:D44)</f>
        <v>0.0435738592028959</v>
      </c>
      <c r="C59" s="9" t="n">
        <f aca="false">AVERAGE(B50:D53)</f>
        <v>0.0360882947695085</v>
      </c>
    </row>
    <row r="60" customFormat="false" ht="15" hidden="false" customHeight="false" outlineLevel="0" collapsed="false">
      <c r="A60" s="4" t="s">
        <v>208</v>
      </c>
      <c r="B60" s="9" t="n">
        <f aca="false">AVERAGE(B45:D45)</f>
        <v>0.0115340814585264</v>
      </c>
      <c r="C60" s="9" t="n">
        <f aca="false">AVERAGE(B54:D54)</f>
        <v>0.0195169283212094</v>
      </c>
    </row>
    <row r="61" customFormat="false" ht="15" hidden="false" customHeight="false" outlineLevel="0" collapsed="false">
      <c r="A61" s="4" t="s">
        <v>209</v>
      </c>
      <c r="B61" s="13" t="str">
        <f aca="false">IF(B60&lt;C60,"Method A","Method B")</f>
        <v>Method A</v>
      </c>
    </row>
    <row r="63" customFormat="false" ht="15" hidden="false" customHeight="false" outlineLevel="0" collapsed="false">
      <c r="A63" s="2" t="s">
        <v>210</v>
      </c>
    </row>
    <row r="64" customFormat="false" ht="15" hidden="false" customHeight="false" outlineLevel="0" collapsed="false">
      <c r="A64" s="2" t="s">
        <v>211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2"/>
  </cols>
  <sheetData>
    <row r="1" customFormat="false" ht="19.7" hidden="false" customHeight="false" outlineLevel="0" collapsed="false">
      <c r="A1" s="1" t="s">
        <v>212</v>
      </c>
    </row>
    <row r="2" customFormat="false" ht="15" hidden="false" customHeight="false" outlineLevel="0" collapsed="false">
      <c r="A2" s="2" t="s">
        <v>213</v>
      </c>
    </row>
    <row r="4" customFormat="false" ht="15" hidden="false" customHeight="false" outlineLevel="0" collapsed="false">
      <c r="A4" s="4" t="s">
        <v>214</v>
      </c>
      <c r="C4" s="8" t="n">
        <f aca="false">Forecast!H23</f>
        <v>5954.59714096805</v>
      </c>
    </row>
    <row r="5" customFormat="false" ht="15" hidden="false" customHeight="false" outlineLevel="0" collapsed="false">
      <c r="A5" s="4" t="s">
        <v>215</v>
      </c>
      <c r="C5" s="32" t="n">
        <f aca="false">Forecast!H7</f>
        <v>406772.6924</v>
      </c>
    </row>
    <row r="6" customFormat="false" ht="15" hidden="false" customHeight="false" outlineLevel="0" collapsed="false">
      <c r="A6" s="4" t="s">
        <v>216</v>
      </c>
      <c r="C6" s="32" t="n">
        <f aca="false">Forecast!H12</f>
        <v>431229.6505</v>
      </c>
    </row>
    <row r="7" customFormat="false" ht="15" hidden="false" customHeight="false" outlineLevel="0" collapsed="false">
      <c r="A7" s="4" t="s">
        <v>217</v>
      </c>
      <c r="C7" s="24" t="n">
        <f aca="false">Calibration!$E$7</f>
        <v>0.995306951990136</v>
      </c>
    </row>
    <row r="8" customFormat="false" ht="15" hidden="false" customHeight="false" outlineLevel="0" collapsed="false">
      <c r="A8" s="4" t="s">
        <v>218</v>
      </c>
      <c r="C8" s="10" t="n">
        <f aca="false">Inputs!$C$17</f>
        <v>0.69</v>
      </c>
    </row>
    <row r="9" customFormat="false" ht="15" hidden="false" customHeight="false" outlineLevel="0" collapsed="false">
      <c r="A9" s="4" t="s">
        <v>219</v>
      </c>
      <c r="C9" s="8" t="n">
        <f aca="false">Forecast!H27</f>
        <v>1684.68191370009</v>
      </c>
    </row>
    <row r="12" customFormat="false" ht="15" hidden="false" customHeight="false" outlineLevel="0" collapsed="false">
      <c r="A12" s="3" t="s">
        <v>220</v>
      </c>
    </row>
    <row r="13" customFormat="false" ht="15" hidden="false" customHeight="false" outlineLevel="0" collapsed="false">
      <c r="A13" s="2" t="s">
        <v>221</v>
      </c>
      <c r="C13" s="33" t="n">
        <v>-200</v>
      </c>
      <c r="D13" s="33" t="n">
        <v>-100</v>
      </c>
      <c r="E13" s="33" t="n">
        <v>0</v>
      </c>
      <c r="F13" s="33" t="n">
        <v>100</v>
      </c>
      <c r="G13" s="33" t="n">
        <v>200</v>
      </c>
    </row>
    <row r="14" customFormat="false" ht="15" hidden="false" customHeight="false" outlineLevel="0" collapsed="false">
      <c r="B14" s="33" t="n">
        <v>-300</v>
      </c>
      <c r="C14" s="12" t="n">
        <f aca="false">$C$4+($B14*$C$5+C$13*$C$6*$C$7)/1000000</f>
        <v>5746.72415943866</v>
      </c>
      <c r="D14" s="12" t="n">
        <f aca="false">$C$4+($B14*$C$5+D$13*$C$6*$C$7)/1000000</f>
        <v>5789.64474634335</v>
      </c>
      <c r="E14" s="12" t="n">
        <f aca="false">$C$4+($B14*$C$5+E$13*$C$6*$C$7)/1000000</f>
        <v>5832.56533324805</v>
      </c>
      <c r="F14" s="12" t="n">
        <f aca="false">$C$4+($B14*$C$5+F$13*$C$6*$C$7)/1000000</f>
        <v>5875.48592015274</v>
      </c>
      <c r="G14" s="12" t="n">
        <f aca="false">$C$4+($B14*$C$5+G$13*$C$6*$C$7)/1000000</f>
        <v>5918.40650705743</v>
      </c>
    </row>
    <row r="15" customFormat="false" ht="15" hidden="false" customHeight="false" outlineLevel="0" collapsed="false">
      <c r="B15" s="33" t="n">
        <v>-200</v>
      </c>
      <c r="C15" s="12" t="n">
        <f aca="false">$C$4+($B15*$C$5+C$13*$C$6*$C$7)/1000000</f>
        <v>5787.40142867866</v>
      </c>
      <c r="D15" s="12" t="n">
        <f aca="false">$C$4+($B15*$C$5+D$13*$C$6*$C$7)/1000000</f>
        <v>5830.32201558335</v>
      </c>
      <c r="E15" s="12" t="n">
        <f aca="false">$C$4+($B15*$C$5+E$13*$C$6*$C$7)/1000000</f>
        <v>5873.24260248805</v>
      </c>
      <c r="F15" s="12" t="n">
        <f aca="false">$C$4+($B15*$C$5+F$13*$C$6*$C$7)/1000000</f>
        <v>5916.16318939274</v>
      </c>
      <c r="G15" s="12" t="n">
        <f aca="false">$C$4+($B15*$C$5+G$13*$C$6*$C$7)/1000000</f>
        <v>5959.08377629743</v>
      </c>
    </row>
    <row r="16" customFormat="false" ht="15" hidden="false" customHeight="false" outlineLevel="0" collapsed="false">
      <c r="B16" s="33" t="n">
        <v>-100</v>
      </c>
      <c r="C16" s="12" t="n">
        <f aca="false">$C$4+($B16*$C$5+C$13*$C$6*$C$7)/1000000</f>
        <v>5828.07869791866</v>
      </c>
      <c r="D16" s="12" t="n">
        <f aca="false">$C$4+($B16*$C$5+D$13*$C$6*$C$7)/1000000</f>
        <v>5870.99928482335</v>
      </c>
      <c r="E16" s="12" t="n">
        <f aca="false">$C$4+($B16*$C$5+E$13*$C$6*$C$7)/1000000</f>
        <v>5913.91987172805</v>
      </c>
      <c r="F16" s="12" t="n">
        <f aca="false">$C$4+($B16*$C$5+F$13*$C$6*$C$7)/1000000</f>
        <v>5956.84045863274</v>
      </c>
      <c r="G16" s="12" t="n">
        <f aca="false">$C$4+($B16*$C$5+G$13*$C$6*$C$7)/1000000</f>
        <v>5999.76104553743</v>
      </c>
    </row>
    <row r="17" customFormat="false" ht="15" hidden="false" customHeight="false" outlineLevel="0" collapsed="false">
      <c r="B17" s="33" t="n">
        <v>0</v>
      </c>
      <c r="C17" s="12" t="n">
        <f aca="false">$C$4+($B17*$C$5+C$13*$C$6*$C$7)/1000000</f>
        <v>5868.75596715866</v>
      </c>
      <c r="D17" s="12" t="n">
        <f aca="false">$C$4+($B17*$C$5+D$13*$C$6*$C$7)/1000000</f>
        <v>5911.67655406335</v>
      </c>
      <c r="E17" s="7" t="n">
        <f aca="false">$C$4+($B17*$C$5+E$13*$C$6*$C$7)/1000000</f>
        <v>5954.59714096805</v>
      </c>
      <c r="F17" s="12" t="n">
        <f aca="false">$C$4+($B17*$C$5+F$13*$C$6*$C$7)/1000000</f>
        <v>5997.51772787274</v>
      </c>
      <c r="G17" s="12" t="n">
        <f aca="false">$C$4+($B17*$C$5+G$13*$C$6*$C$7)/1000000</f>
        <v>6040.43831477743</v>
      </c>
    </row>
    <row r="18" customFormat="false" ht="15" hidden="false" customHeight="false" outlineLevel="0" collapsed="false">
      <c r="B18" s="33" t="n">
        <v>100</v>
      </c>
      <c r="C18" s="12" t="n">
        <f aca="false">$C$4+($B18*$C$5+C$13*$C$6*$C$7)/1000000</f>
        <v>5909.43323639866</v>
      </c>
      <c r="D18" s="12" t="n">
        <f aca="false">$C$4+($B18*$C$5+D$13*$C$6*$C$7)/1000000</f>
        <v>5952.35382330335</v>
      </c>
      <c r="E18" s="12" t="n">
        <f aca="false">$C$4+($B18*$C$5+E$13*$C$6*$C$7)/1000000</f>
        <v>5995.27441020805</v>
      </c>
      <c r="F18" s="12" t="n">
        <f aca="false">$C$4+($B18*$C$5+F$13*$C$6*$C$7)/1000000</f>
        <v>6038.19499711274</v>
      </c>
      <c r="G18" s="12" t="n">
        <f aca="false">$C$4+($B18*$C$5+G$13*$C$6*$C$7)/1000000</f>
        <v>6081.11558401743</v>
      </c>
    </row>
    <row r="19" customFormat="false" ht="15" hidden="false" customHeight="false" outlineLevel="0" collapsed="false">
      <c r="B19" s="33" t="n">
        <v>200</v>
      </c>
      <c r="C19" s="12" t="n">
        <f aca="false">$C$4+($B19*$C$5+C$13*$C$6*$C$7)/1000000</f>
        <v>5950.11050563866</v>
      </c>
      <c r="D19" s="12" t="n">
        <f aca="false">$C$4+($B19*$C$5+D$13*$C$6*$C$7)/1000000</f>
        <v>5993.03109254335</v>
      </c>
      <c r="E19" s="12" t="n">
        <f aca="false">$C$4+($B19*$C$5+E$13*$C$6*$C$7)/1000000</f>
        <v>6035.95167944805</v>
      </c>
      <c r="F19" s="12" t="n">
        <f aca="false">$C$4+($B19*$C$5+F$13*$C$6*$C$7)/1000000</f>
        <v>6078.87226635274</v>
      </c>
      <c r="G19" s="12" t="n">
        <f aca="false">$C$4+($B19*$C$5+G$13*$C$6*$C$7)/1000000</f>
        <v>6121.79285325743</v>
      </c>
    </row>
    <row r="20" customFormat="false" ht="15" hidden="false" customHeight="false" outlineLevel="0" collapsed="false">
      <c r="B20" s="33" t="n">
        <v>300</v>
      </c>
      <c r="C20" s="12" t="n">
        <f aca="false">$C$4+($B20*$C$5+C$13*$C$6*$C$7)/1000000</f>
        <v>5990.78777487866</v>
      </c>
      <c r="D20" s="12" t="n">
        <f aca="false">$C$4+($B20*$C$5+D$13*$C$6*$C$7)/1000000</f>
        <v>6033.70836178335</v>
      </c>
      <c r="E20" s="12" t="n">
        <f aca="false">$C$4+($B20*$C$5+E$13*$C$6*$C$7)/1000000</f>
        <v>6076.62894868805</v>
      </c>
      <c r="F20" s="12" t="n">
        <f aca="false">$C$4+($B20*$C$5+F$13*$C$6*$C$7)/1000000</f>
        <v>6119.54953559274</v>
      </c>
      <c r="G20" s="12" t="n">
        <f aca="false">$C$4+($B20*$C$5+G$13*$C$6*$C$7)/1000000</f>
        <v>6162.47012249743</v>
      </c>
    </row>
    <row r="23" customFormat="false" ht="15" hidden="false" customHeight="false" outlineLevel="0" collapsed="false">
      <c r="A23" s="3" t="s">
        <v>222</v>
      </c>
    </row>
    <row r="24" customFormat="false" ht="15" hidden="false" customHeight="false" outlineLevel="0" collapsed="false">
      <c r="A24" s="2" t="s">
        <v>221</v>
      </c>
      <c r="C24" s="33" t="n">
        <v>-200</v>
      </c>
      <c r="D24" s="33" t="n">
        <v>-100</v>
      </c>
      <c r="E24" s="33" t="n">
        <v>0</v>
      </c>
      <c r="F24" s="33" t="n">
        <v>100</v>
      </c>
      <c r="G24" s="33" t="n">
        <v>200</v>
      </c>
    </row>
    <row r="25" customFormat="false" ht="15" hidden="false" customHeight="false" outlineLevel="0" collapsed="false">
      <c r="B25" s="33" t="n">
        <v>-300</v>
      </c>
      <c r="C25" s="12" t="n">
        <f aca="false">$C$9+($B25*$C$5+C$24*$C$6*$C$7)/1000000*(1-$C$8)</f>
        <v>1620.24128942599</v>
      </c>
      <c r="D25" s="12" t="n">
        <f aca="false">$C$9+($B25*$C$5+D$24*$C$6*$C$7)/1000000*(1-$C$8)</f>
        <v>1633.54667136644</v>
      </c>
      <c r="E25" s="12" t="n">
        <f aca="false">$C$9+($B25*$C$5+E$24*$C$6*$C$7)/1000000*(1-$C$8)</f>
        <v>1646.85205330689</v>
      </c>
      <c r="F25" s="12" t="n">
        <f aca="false">$C$9+($B25*$C$5+F$24*$C$6*$C$7)/1000000*(1-$C$8)</f>
        <v>1660.15743524735</v>
      </c>
      <c r="G25" s="12" t="n">
        <f aca="false">$C$9+($B25*$C$5+G$24*$C$6*$C$7)/1000000*(1-$C$8)</f>
        <v>1673.4628171878</v>
      </c>
    </row>
    <row r="26" customFormat="false" ht="15" hidden="false" customHeight="false" outlineLevel="0" collapsed="false">
      <c r="B26" s="33" t="n">
        <v>-200</v>
      </c>
      <c r="C26" s="12" t="n">
        <f aca="false">$C$9+($B26*$C$5+C$24*$C$6*$C$7)/1000000*(1-$C$8)</f>
        <v>1632.85124289039</v>
      </c>
      <c r="D26" s="12" t="n">
        <f aca="false">$C$9+($B26*$C$5+D$24*$C$6*$C$7)/1000000*(1-$C$8)</f>
        <v>1646.15662483084</v>
      </c>
      <c r="E26" s="12" t="n">
        <f aca="false">$C$9+($B26*$C$5+E$24*$C$6*$C$7)/1000000*(1-$C$8)</f>
        <v>1659.4620067713</v>
      </c>
      <c r="F26" s="12" t="n">
        <f aca="false">$C$9+($B26*$C$5+F$24*$C$6*$C$7)/1000000*(1-$C$8)</f>
        <v>1672.76738871175</v>
      </c>
      <c r="G26" s="12" t="n">
        <f aca="false">$C$9+($B26*$C$5+G$24*$C$6*$C$7)/1000000*(1-$C$8)</f>
        <v>1686.0727706522</v>
      </c>
    </row>
    <row r="27" customFormat="false" ht="15" hidden="false" customHeight="false" outlineLevel="0" collapsed="false">
      <c r="B27" s="33" t="n">
        <v>-100</v>
      </c>
      <c r="C27" s="12" t="n">
        <f aca="false">$C$9+($B27*$C$5+C$24*$C$6*$C$7)/1000000*(1-$C$8)</f>
        <v>1645.46119635479</v>
      </c>
      <c r="D27" s="12" t="n">
        <f aca="false">$C$9+($B27*$C$5+D$24*$C$6*$C$7)/1000000*(1-$C$8)</f>
        <v>1658.76657829524</v>
      </c>
      <c r="E27" s="12" t="n">
        <f aca="false">$C$9+($B27*$C$5+E$24*$C$6*$C$7)/1000000*(1-$C$8)</f>
        <v>1672.07196023569</v>
      </c>
      <c r="F27" s="12" t="n">
        <f aca="false">$C$9+($B27*$C$5+F$24*$C$6*$C$7)/1000000*(1-$C$8)</f>
        <v>1685.37734217615</v>
      </c>
      <c r="G27" s="12" t="n">
        <f aca="false">$C$9+($B27*$C$5+G$24*$C$6*$C$7)/1000000*(1-$C$8)</f>
        <v>1698.6827241166</v>
      </c>
    </row>
    <row r="28" customFormat="false" ht="15" hidden="false" customHeight="false" outlineLevel="0" collapsed="false">
      <c r="B28" s="33" t="n">
        <v>0</v>
      </c>
      <c r="C28" s="12" t="n">
        <f aca="false">$C$9+($B28*$C$5+C$24*$C$6*$C$7)/1000000*(1-$C$8)</f>
        <v>1658.07114981919</v>
      </c>
      <c r="D28" s="12" t="n">
        <f aca="false">$C$9+($B28*$C$5+D$24*$C$6*$C$7)/1000000*(1-$C$8)</f>
        <v>1671.37653175964</v>
      </c>
      <c r="E28" s="7" t="n">
        <f aca="false">$C$9+($B28*$C$5+E$24*$C$6*$C$7)/1000000*(1-$C$8)</f>
        <v>1684.68191370009</v>
      </c>
      <c r="F28" s="12" t="n">
        <f aca="false">$C$9+($B28*$C$5+F$24*$C$6*$C$7)/1000000*(1-$C$8)</f>
        <v>1697.98729564055</v>
      </c>
      <c r="G28" s="12" t="n">
        <f aca="false">$C$9+($B28*$C$5+G$24*$C$6*$C$7)/1000000*(1-$C$8)</f>
        <v>1711.292677581</v>
      </c>
    </row>
    <row r="29" customFormat="false" ht="15" hidden="false" customHeight="false" outlineLevel="0" collapsed="false">
      <c r="B29" s="33" t="n">
        <v>100</v>
      </c>
      <c r="C29" s="12" t="n">
        <f aca="false">$C$9+($B29*$C$5+C$24*$C$6*$C$7)/1000000*(1-$C$8)</f>
        <v>1670.68110328359</v>
      </c>
      <c r="D29" s="12" t="n">
        <f aca="false">$C$9+($B29*$C$5+D$24*$C$6*$C$7)/1000000*(1-$C$8)</f>
        <v>1683.98648522404</v>
      </c>
      <c r="E29" s="12" t="n">
        <f aca="false">$C$9+($B29*$C$5+E$24*$C$6*$C$7)/1000000*(1-$C$8)</f>
        <v>1697.29186716449</v>
      </c>
      <c r="F29" s="12" t="n">
        <f aca="false">$C$9+($B29*$C$5+F$24*$C$6*$C$7)/1000000*(1-$C$8)</f>
        <v>1710.59724910495</v>
      </c>
      <c r="G29" s="12" t="n">
        <f aca="false">$C$9+($B29*$C$5+G$24*$C$6*$C$7)/1000000*(1-$C$8)</f>
        <v>1723.9026310454</v>
      </c>
    </row>
    <row r="30" customFormat="false" ht="15" hidden="false" customHeight="false" outlineLevel="0" collapsed="false">
      <c r="B30" s="33" t="n">
        <v>200</v>
      </c>
      <c r="C30" s="12" t="n">
        <f aca="false">$C$9+($B30*$C$5+C$24*$C$6*$C$7)/1000000*(1-$C$8)</f>
        <v>1683.29105674799</v>
      </c>
      <c r="D30" s="12" t="n">
        <f aca="false">$C$9+($B30*$C$5+D$24*$C$6*$C$7)/1000000*(1-$C$8)</f>
        <v>1696.59643868844</v>
      </c>
      <c r="E30" s="12" t="n">
        <f aca="false">$C$9+($B30*$C$5+E$24*$C$6*$C$7)/1000000*(1-$C$8)</f>
        <v>1709.90182062889</v>
      </c>
      <c r="F30" s="12" t="n">
        <f aca="false">$C$9+($B30*$C$5+F$24*$C$6*$C$7)/1000000*(1-$C$8)</f>
        <v>1723.20720256935</v>
      </c>
      <c r="G30" s="12" t="n">
        <f aca="false">$C$9+($B30*$C$5+G$24*$C$6*$C$7)/1000000*(1-$C$8)</f>
        <v>1736.5125845098</v>
      </c>
    </row>
    <row r="31" customFormat="false" ht="15" hidden="false" customHeight="false" outlineLevel="0" collapsed="false">
      <c r="B31" s="33" t="n">
        <v>300</v>
      </c>
      <c r="C31" s="12" t="n">
        <f aca="false">$C$9+($B31*$C$5+C$24*$C$6*$C$7)/1000000*(1-$C$8)</f>
        <v>1695.90101021239</v>
      </c>
      <c r="D31" s="12" t="n">
        <f aca="false">$C$9+($B31*$C$5+D$24*$C$6*$C$7)/1000000*(1-$C$8)</f>
        <v>1709.20639215284</v>
      </c>
      <c r="E31" s="12" t="n">
        <f aca="false">$C$9+($B31*$C$5+E$24*$C$6*$C$7)/1000000*(1-$C$8)</f>
        <v>1722.5117740933</v>
      </c>
      <c r="F31" s="12" t="n">
        <f aca="false">$C$9+($B31*$C$5+F$24*$C$6*$C$7)/1000000*(1-$C$8)</f>
        <v>1735.81715603375</v>
      </c>
      <c r="G31" s="12" t="n">
        <f aca="false">$C$9+($B31*$C$5+G$24*$C$6*$C$7)/1000000*(1-$C$8)</f>
        <v>1749.1225379742</v>
      </c>
    </row>
    <row r="33" customFormat="false" ht="15" hidden="false" customHeight="false" outlineLevel="0" collapsed="false">
      <c r="A33" s="2" t="s">
        <v>223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70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224</v>
      </c>
    </row>
    <row r="2" customFormat="false" ht="15" hidden="false" customHeight="false" outlineLevel="0" collapsed="false">
      <c r="A2" s="2" t="s">
        <v>225</v>
      </c>
    </row>
    <row r="4" customFormat="false" ht="15" hidden="false" customHeight="false" outlineLevel="0" collapsed="false">
      <c r="A4" s="5" t="s">
        <v>226</v>
      </c>
      <c r="B4" s="6" t="s">
        <v>227</v>
      </c>
      <c r="C4" s="6" t="s">
        <v>228</v>
      </c>
      <c r="D4" s="6" t="s">
        <v>229</v>
      </c>
      <c r="E4" s="6" t="s">
        <v>230</v>
      </c>
    </row>
    <row r="5" customFormat="false" ht="15" hidden="false" customHeight="false" outlineLevel="0" collapsed="false">
      <c r="A5" s="4" t="s">
        <v>231</v>
      </c>
      <c r="B5" s="34" t="n">
        <v>16.1</v>
      </c>
      <c r="C5" s="2" t="s">
        <v>232</v>
      </c>
      <c r="D5" s="4" t="s">
        <v>233</v>
      </c>
      <c r="E5" s="2" t="s">
        <v>234</v>
      </c>
    </row>
    <row r="6" customFormat="false" ht="15" hidden="false" customHeight="false" outlineLevel="0" collapsed="false">
      <c r="A6" s="4" t="s">
        <v>235</v>
      </c>
      <c r="B6" s="34" t="n">
        <v>16.3</v>
      </c>
      <c r="C6" s="2" t="s">
        <v>232</v>
      </c>
      <c r="D6" s="4" t="s">
        <v>236</v>
      </c>
      <c r="E6" s="2" t="s">
        <v>234</v>
      </c>
    </row>
    <row r="7" customFormat="false" ht="15" hidden="false" customHeight="false" outlineLevel="0" collapsed="false">
      <c r="A7" s="4" t="s">
        <v>237</v>
      </c>
      <c r="B7" s="34" t="n">
        <v>16.6</v>
      </c>
      <c r="C7" s="2" t="s">
        <v>232</v>
      </c>
      <c r="D7" s="4" t="s">
        <v>238</v>
      </c>
      <c r="E7" s="2" t="s">
        <v>234</v>
      </c>
    </row>
    <row r="8" customFormat="false" ht="15" hidden="false" customHeight="false" outlineLevel="0" collapsed="false">
      <c r="A8" s="4" t="s">
        <v>239</v>
      </c>
      <c r="B8" s="34" t="n">
        <v>205.9</v>
      </c>
      <c r="C8" s="2" t="s">
        <v>240</v>
      </c>
      <c r="D8" s="4" t="s">
        <v>241</v>
      </c>
      <c r="E8" s="2" t="s">
        <v>242</v>
      </c>
    </row>
    <row r="9" customFormat="false" ht="15" hidden="false" customHeight="false" outlineLevel="0" collapsed="false">
      <c r="A9" s="4" t="s">
        <v>243</v>
      </c>
      <c r="B9" s="16" t="n">
        <v>-0.006</v>
      </c>
      <c r="C9" s="2" t="s">
        <v>240</v>
      </c>
      <c r="D9" s="4" t="s">
        <v>244</v>
      </c>
      <c r="E9" s="2" t="s">
        <v>242</v>
      </c>
    </row>
    <row r="10" customFormat="false" ht="15" hidden="false" customHeight="false" outlineLevel="0" collapsed="false">
      <c r="A10" s="4" t="s">
        <v>245</v>
      </c>
      <c r="B10" s="16" t="n">
        <v>0.002</v>
      </c>
      <c r="C10" s="2" t="s">
        <v>240</v>
      </c>
      <c r="D10" s="4" t="s">
        <v>246</v>
      </c>
      <c r="E10" s="2" t="s">
        <v>242</v>
      </c>
    </row>
    <row r="11" customFormat="false" ht="15" hidden="false" customHeight="false" outlineLevel="0" collapsed="false">
      <c r="A11" s="4" t="s">
        <v>247</v>
      </c>
      <c r="B11" s="16" t="n">
        <v>0.03</v>
      </c>
      <c r="C11" s="2" t="s">
        <v>240</v>
      </c>
      <c r="D11" s="4" t="s">
        <v>248</v>
      </c>
      <c r="E11" s="2" t="s">
        <v>242</v>
      </c>
    </row>
    <row r="13" customFormat="false" ht="15" hidden="false" customHeight="false" outlineLevel="0" collapsed="false">
      <c r="A13" s="3" t="s">
        <v>249</v>
      </c>
    </row>
    <row r="14" customFormat="false" ht="15" hidden="false" customHeight="false" outlineLevel="0" collapsed="false">
      <c r="A14" s="2" t="s">
        <v>250</v>
      </c>
    </row>
    <row r="15" customFormat="false" ht="15" hidden="false" customHeight="false" outlineLevel="0" collapsed="false">
      <c r="A15" s="2" t="s">
        <v>251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2026-11-03T15:52:32Z</dcterms:created>
  <dc:creator>openpyxl</dc:creator>
  <dc:description/>
  <dc:language>en-US</dc:language>
  <cp:lastModifiedBy/>
  <dcterms:modified xsi:type="dcterms:W3CDTF">2026-11-03T07:52:33Z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