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5.xml.rels" ContentType="application/vnd.openxmlformats-package.relationships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5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" sheetId="1" state="visible" r:id="rId3"/>
    <sheet name="Dashboard" sheetId="2" state="visible" r:id="rId4"/>
    <sheet name="Findings" sheetId="3" state="visible" r:id="rId5"/>
    <sheet name="Inputs" sheetId="4" state="visible" r:id="rId6"/>
    <sheet name="Historicals" sheetId="5" state="visible" r:id="rId7"/>
    <sheet name="Forecast" sheetId="6" state="visible" r:id="rId8"/>
    <sheet name="Guidance check" sheetId="7" state="visible" r:id="rId9"/>
    <sheet name="Sensitivity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1" authorId="0">
      <text>
        <r>
          <rPr>
            <sz val="10"/>
            <rFont val="Arial"/>
            <family val="2"/>
          </rPr>
          <t xml:space="preserve">Derived: FY25 revenue $46,309M less Q2 to Q4 FY25.</t>
        </r>
      </text>
    </comment>
    <comment ref="C23" authorId="0">
      <text>
        <r>
          <rPr>
            <sz val="10"/>
            <rFont val="Arial"/>
            <family val="2"/>
          </rPr>
          <t xml:space="preserve">Derived: FY25 gross profit $19,790M less Q2 to Q4 FY25.</t>
        </r>
      </text>
    </comment>
    <comment ref="C29" authorId="0">
      <text>
        <r>
          <rPr>
            <sz val="10"/>
            <rFont val="Arial"/>
            <family val="2"/>
          </rPr>
          <t xml:space="preserve">Derived: FY25 demand creation $4,689M less Q2 to Q4 FY25.</t>
        </r>
      </text>
    </comment>
    <comment ref="C31" authorId="0">
      <text>
        <r>
          <rPr>
            <sz val="10"/>
            <rFont val="Arial"/>
            <family val="2"/>
          </rPr>
          <t xml:space="preserve">Derived: FY25 operating overhead $11,399M less Q2 to Q4 FY25.</t>
        </r>
      </text>
    </comment>
    <comment ref="C36" authorId="0">
      <text>
        <r>
          <rPr>
            <sz val="10"/>
            <rFont val="Arial"/>
            <family val="2"/>
          </rPr>
          <t xml:space="preserve">Derived: FY25 net income $3,219M less Q2 to Q4 FY25.</t>
        </r>
      </text>
    </comment>
    <comment ref="H20" authorId="0">
      <text>
        <r>
          <rPr>
            <sz val="10"/>
            <rFont val="Arial"/>
            <family val="2"/>
          </rPr>
          <t xml:space="preserve">Reported: Digital -14%, stores -3%.</t>
        </r>
      </text>
    </comment>
    <comment ref="I5" authorId="0">
      <text>
        <r>
          <rPr>
            <sz val="10"/>
            <rFont val="Arial"/>
            <family val="2"/>
          </rPr>
          <t xml:space="preserve">Derived: FY26 segment revenue less Q1, Q2 and Q4 FY26 (Q3 release gave directional comments only).</t>
        </r>
      </text>
    </comment>
    <comment ref="I6" authorId="0">
      <text>
        <r>
          <rPr>
            <sz val="10"/>
            <rFont val="Arial"/>
            <family val="2"/>
          </rPr>
          <t xml:space="preserve">Derived: FY26 segment revenue less Q1, Q2 and Q4 FY26.</t>
        </r>
      </text>
    </comment>
    <comment ref="I7" authorId="0">
      <text>
        <r>
          <rPr>
            <sz val="10"/>
            <rFont val="Arial"/>
            <family val="2"/>
          </rPr>
          <t xml:space="preserve">Derived: FY26 segment revenue less Q1, Q2 and Q4 FY26.</t>
        </r>
      </text>
    </comment>
    <comment ref="I8" authorId="0">
      <text>
        <r>
          <rPr>
            <sz val="10"/>
            <rFont val="Arial"/>
            <family val="2"/>
          </rPr>
          <t xml:space="preserve">Derived: FY26 segment revenue less Q1, Q2 and Q4 FY26.</t>
        </r>
      </text>
    </comment>
    <comment ref="I20" authorId="0">
      <text>
        <r>
          <rPr>
            <sz val="10"/>
            <rFont val="Arial"/>
            <family val="2"/>
          </rPr>
          <t xml:space="preserve">Reported: Digital -9%, stores -5%.</t>
        </r>
      </text>
    </comment>
    <comment ref="J20" authorId="0">
      <text>
        <r>
          <rPr>
            <sz val="10"/>
            <rFont val="Arial"/>
            <family val="2"/>
          </rPr>
          <t xml:space="preserve">Reported: Digital -12%, stores -7%.</t>
        </r>
      </text>
    </comment>
    <comment ref="J24" authorId="0">
      <text>
        <r>
          <rPr>
            <sz val="10"/>
            <rFont val="Arial"/>
            <family val="2"/>
          </rPr>
          <t xml:space="preserve">Q4 FY26 release: expected recovery of IEEPA tariffs of $986M raised gross margin about 900 basis points. Removed here to see the underlying trend.</t>
        </r>
      </text>
    </comment>
    <comment ref="K20" authorId="0">
      <text>
        <r>
          <rPr>
            <sz val="10"/>
            <rFont val="Arial"/>
            <family val="2"/>
          </rPr>
          <t xml:space="preserve">Reported: Digital -13%, stores -5%.</t>
        </r>
      </text>
    </comment>
    <comment ref="K39" authorId="0">
      <text>
        <r>
          <rPr>
            <sz val="10"/>
            <rFont val="Arial"/>
            <family val="2"/>
          </rPr>
          <t xml:space="preserve">Reported in Q1 FY27 release: inventories down 3%.</t>
        </r>
      </text>
    </comment>
  </commentList>
</comments>
</file>

<file path=xl/sharedStrings.xml><?xml version="1.0" encoding="utf-8"?>
<sst xmlns="http://schemas.openxmlformats.org/spreadsheetml/2006/main" count="423" uniqueCount="203">
  <si>
    <t xml:space="preserve">Nike turnaround tracker and FY27 forecast</t>
  </si>
  <si>
    <t xml:space="preserve">Built by Brian Truong from public filings. Last updated November 4, 2026.</t>
  </si>
  <si>
    <t xml:space="preserve">What this model does</t>
  </si>
  <si>
    <t xml:space="preserve">Tracks whether Nike's turnaround under CEO Elliott Hill is working, using seven quarterly signals.</t>
  </si>
  <si>
    <t xml:space="preserve">Forecasts FY27 revenue by region and Converse, gross profit and operating profit under three scenarios.</t>
  </si>
  <si>
    <t xml:space="preserve">Checks each scenario against management's guidance (revenue down high single digits) and shows which assumptions matter most.</t>
  </si>
  <si>
    <t xml:space="preserve">How to use it</t>
  </si>
  <si>
    <t xml:space="preserve">1. Inputs tab: change the blue cells. Cell C4 picks the scenario shown on the Dashboard.</t>
  </si>
  <si>
    <t xml:space="preserve">2. Dashboard: FY27 outlook, the turnaround scorecard and charts.</t>
  </si>
  <si>
    <t xml:space="preserve">3. Forecast, Guidance check and Sensitivity tabs show the detail.</t>
  </si>
  <si>
    <t xml:space="preserve">Tabs</t>
  </si>
  <si>
    <t xml:space="preserve">Findings  |  Dashboard  |  Inputs  |  Forecast  |  Guidance check  |  Sensitivity  |  Historicals</t>
  </si>
  <si>
    <t xml:space="preserve">Color key</t>
  </si>
  <si>
    <t xml:space="preserve">Blue = hardcoded input (reported data or assumption)  |  Black = formula  |  Green = link to another tab  |  Yellow fill = key assumption</t>
  </si>
  <si>
    <t xml:space="preserve">Data notes</t>
  </si>
  <si>
    <t xml:space="preserve">Q4 FY26 gross profit includes a one-time $986M recovery of IEEPA tariffs. The model shows results with and without it.</t>
  </si>
  <si>
    <t xml:space="preserve">A few values are derived from full-year totals (Q1 FY25 and Q3 FY26 segment revenue); each has a cell comment on the Historicals tab.</t>
  </si>
  <si>
    <t xml:space="preserve">Operating profit = gross profit less demand creation and operating overhead, which is close to but not the same as Nike's reported EBIT.</t>
  </si>
  <si>
    <t xml:space="preserve">All data is public. Independent analysis for learning, not investment advice, not affiliated with Nike.</t>
  </si>
  <si>
    <t xml:space="preserve">Sources</t>
  </si>
  <si>
    <t xml:space="preserve">Q1 FY27 results release: https://about.nike.com/newsroom/releases/nike-inc-reports-fiscal-2027-first-quarter-results</t>
  </si>
  <si>
    <t xml:space="preserve">Q1 FY27 Form 10-Q: https://www.sec.gov/Archives/edgar/data/0000320187/000032018726000193/nke-20260831.htm</t>
  </si>
  <si>
    <t xml:space="preserve">Q1 FY27 conference call prepared remarks: https://s1.q4cdn.com/806093406/files/content_files/NIKE-Inc-Q1FY27-UNOFFICIAL-Transcript.pdf</t>
  </si>
  <si>
    <t xml:space="preserve">Q4 and full-year FY26 release (SEC 8-K): https://www.sec.gov/Archives/edgar/data/0000320187/000032018726000076/q4fy26exhibit991er.htm</t>
  </si>
  <si>
    <t xml:space="preserve">Q3 FY26 Form 10-Q: https://www.sec.gov/Archives/edgar/data/320187/000032018726000037/nke-20260228.htm</t>
  </si>
  <si>
    <t xml:space="preserve">Q3 FY26 results release: https://about.nike.com/newsroom/releases/nike-inc-reports-fiscal-2026-third-quarter-results</t>
  </si>
  <si>
    <t xml:space="preserve">Q2 FY26 results release: https://www.businesswire.com/news/home/20251218490426/en/NIKE-Inc.-Reports-Fiscal-2026-Second-Quarter-Results</t>
  </si>
  <si>
    <t xml:space="preserve">Nike turnaround tracker</t>
  </si>
  <si>
    <t xml:space="preserve">FY27 outlook ($M)</t>
  </si>
  <si>
    <t xml:space="preserve">Selected</t>
  </si>
  <si>
    <t xml:space="preserve">Base</t>
  </si>
  <si>
    <t xml:space="preserve">Faster</t>
  </si>
  <si>
    <t xml:space="preserve">Slower</t>
  </si>
  <si>
    <t xml:space="preserve">FY27E revenue</t>
  </si>
  <si>
    <t xml:space="preserve">FY27E revenue growth</t>
  </si>
  <si>
    <t xml:space="preserve">FY27E gross margin</t>
  </si>
  <si>
    <t xml:space="preserve">FY27E operating profit</t>
  </si>
  <si>
    <t xml:space="preserve">FY27E operating margin</t>
  </si>
  <si>
    <t xml:space="preserve">Inside guidance range?</t>
  </si>
  <si>
    <t xml:space="preserve">Turnaround scorecard</t>
  </si>
  <si>
    <t xml:space="preserve">Signal</t>
  </si>
  <si>
    <t xml:space="preserve">Q2 FY26</t>
  </si>
  <si>
    <t xml:space="preserve">Q3 FY26</t>
  </si>
  <si>
    <t xml:space="preserve">Q4 FY26</t>
  </si>
  <si>
    <t xml:space="preserve">Q1 FY27</t>
  </si>
  <si>
    <t xml:space="preserve">Trend</t>
  </si>
  <si>
    <t xml:space="preserve">What it means</t>
  </si>
  <si>
    <t xml:space="preserve">Total revenue growth</t>
  </si>
  <si>
    <t xml:space="preserve">Top line has turned negative as Nike pulls back supply to clean up the marketplace.</t>
  </si>
  <si>
    <t xml:space="preserve">North America growth</t>
  </si>
  <si>
    <t xml:space="preserve">Nike's biggest market is still growing, but more slowly each quarter.</t>
  </si>
  <si>
    <t xml:space="preserve">Greater China growth</t>
  </si>
  <si>
    <t xml:space="preserve">The weakest region, and getting worse. Management expects it to take multiple seasons.</t>
  </si>
  <si>
    <t xml:space="preserve">NIKE Direct growth</t>
  </si>
  <si>
    <t xml:space="preserve">Nike's own stores and app are still shrinking as it cuts discounting and leans back on wholesale.</t>
  </si>
  <si>
    <t xml:space="preserve">NIKE Brand wholesale growth</t>
  </si>
  <si>
    <t xml:space="preserve">Retail partners came back first; growth stalled in Q1 FY27.</t>
  </si>
  <si>
    <t xml:space="preserve">Gross margin change YoY, ex recovery (bps)</t>
  </si>
  <si>
    <t xml:space="preserve">The clearest improvement: margin went from falling 300 bps to rising 60 bps.</t>
  </si>
  <si>
    <t xml:space="preserve">Operating overhead growth</t>
  </si>
  <si>
    <t xml:space="preserve">Cost discipline is showing up.</t>
  </si>
  <si>
    <t xml:space="preserve">Quarterly revenue ($M): actual and forecast</t>
  </si>
  <si>
    <t xml:space="preserve">Quarter</t>
  </si>
  <si>
    <t xml:space="preserve">Actual</t>
  </si>
  <si>
    <t xml:space="preserve">Q1 FY25</t>
  </si>
  <si>
    <t xml:space="preserve">Q2 FY25</t>
  </si>
  <si>
    <t xml:space="preserve">Q3 FY25</t>
  </si>
  <si>
    <t xml:space="preserve">Q4 FY25</t>
  </si>
  <si>
    <t xml:space="preserve">Q1 FY26</t>
  </si>
  <si>
    <t xml:space="preserve">Q2 FY27E</t>
  </si>
  <si>
    <t xml:space="preserve">Q3 FY27E</t>
  </si>
  <si>
    <t xml:space="preserve">Q4 FY27E</t>
  </si>
  <si>
    <t xml:space="preserve">Q1 FY27 revenue growth by segment</t>
  </si>
  <si>
    <t xml:space="preserve">Segment</t>
  </si>
  <si>
    <t xml:space="preserve">YoY</t>
  </si>
  <si>
    <t xml:space="preserve">North America</t>
  </si>
  <si>
    <t xml:space="preserve">EMEA</t>
  </si>
  <si>
    <t xml:space="preserve">Greater China</t>
  </si>
  <si>
    <t xml:space="preserve">APLA</t>
  </si>
  <si>
    <t xml:space="preserve">Converse</t>
  </si>
  <si>
    <t xml:space="preserve">Key findings (Base scenario unless noted)</t>
  </si>
  <si>
    <t xml:space="preserve">Each line is a formula and updates with the Inputs tab.</t>
  </si>
  <si>
    <t xml:space="preserve">1. FY26 looked flat, but the underlying margin was falling.</t>
  </si>
  <si>
    <t xml:space="preserve">2. Guidance needs a sharp slowdown.</t>
  </si>
  <si>
    <t xml:space="preserve">3. Base case for FY27.</t>
  </si>
  <si>
    <t xml:space="preserve">4. Scenario range.</t>
  </si>
  <si>
    <t xml:space="preserve">5. Margin matters more than China.</t>
  </si>
  <si>
    <t xml:space="preserve">6. Scorecard.</t>
  </si>
  <si>
    <t xml:space="preserve">What to watch next quarter (Q2 FY27, reported in December)</t>
  </si>
  <si>
    <t xml:space="preserve">Gross margin: does the Q1 improvement (+60 bps) hold while Nike clears excess inventory?</t>
  </si>
  <si>
    <t xml:space="preserve">Greater China: does the decline stop getting worse?</t>
  </si>
  <si>
    <t xml:space="preserve">North America: how much do fewer Jordan retro launches cut revenue?</t>
  </si>
  <si>
    <t xml:space="preserve">Investor Day (November): any long-term targets for revenue growth and margin.</t>
  </si>
  <si>
    <t xml:space="preserve">Scenario assumptions for Q2 to Q4 FY27</t>
  </si>
  <si>
    <t xml:space="preserve">Blue cells are assumptions you can change. Revenue growth is versus the same quarter of FY26. Q1 FY27 is already reported.</t>
  </si>
  <si>
    <t xml:space="preserve">Scenario shown on the Dashboard (1 = Base, 2 = Faster turnaround, 3 = Slower turnaround)</t>
  </si>
  <si>
    <t xml:space="preserve">Driver</t>
  </si>
  <si>
    <t xml:space="preserve">Unit</t>
  </si>
  <si>
    <t xml:space="preserve">Q1 FY27 actual</t>
  </si>
  <si>
    <t xml:space="preserve">Why (evidence)</t>
  </si>
  <si>
    <t xml:space="preserve">%</t>
  </si>
  <si>
    <t xml:space="preserve">Grew 2% in Q1, but Q2 laps a higher sell-in comparison and Nike is deliberately cutting Jordan retro launches, which hits North America most.</t>
  </si>
  <si>
    <t xml:space="preserve">EMEA growth</t>
  </si>
  <si>
    <t xml:space="preserve">Down 5% in Q1; Q2 laps last year's Cyber Week promotions. Management called the two Q2 items a ~400 bps revenue headwind.</t>
  </si>
  <si>
    <t xml:space="preserve">Down 22% in Q1 (26% currency-neutral). Management expects the digital cleanup to take multiple seasons.</t>
  </si>
  <si>
    <t xml:space="preserve">APLA growth</t>
  </si>
  <si>
    <t xml:space="preserve">Down 2% in Q1 and roughly flat in FY26.</t>
  </si>
  <si>
    <t xml:space="preserve">Converse growth</t>
  </si>
  <si>
    <t xml:space="preserve">Down 28% in Q1 and about 30% every quarter of FY26; comparisons get easier from here.</t>
  </si>
  <si>
    <t xml:space="preserve">Gross margin, Q2 to Q4</t>
  </si>
  <si>
    <t xml:space="preserve">Q1 was 42.8% (+60 bps). Management expects continued full-year pressure from higher input costs and clearing excess inventory.</t>
  </si>
  <si>
    <t xml:space="preserve">Demand creation as % of revenue</t>
  </si>
  <si>
    <t xml:space="preserve">Was 10.2% for FY26 and 11.2% in Q1 FY27 as Nike spent on brand marketing around sports events.</t>
  </si>
  <si>
    <t xml:space="preserve">Down 6% in Q1 on lower wage and admin costs; management expects SG&amp;A to remain down year over year.</t>
  </si>
  <si>
    <t xml:space="preserve">Management guidance (Q1 FY27 release, Oct 2026)</t>
  </si>
  <si>
    <t xml:space="preserve">Item</t>
  </si>
  <si>
    <t xml:space="preserve">Low</t>
  </si>
  <si>
    <t xml:space="preserve">High</t>
  </si>
  <si>
    <t xml:space="preserve">Note</t>
  </si>
  <si>
    <t xml:space="preserve">FY27 revenue change</t>
  </si>
  <si>
    <t xml:space="preserve">Guided as a high-single-digit decline. Modeled here as -7% to -9%.</t>
  </si>
  <si>
    <t xml:space="preserve">FY27 adjusted diluted EPS</t>
  </si>
  <si>
    <t xml:space="preserve">$</t>
  </si>
  <si>
    <t xml:space="preserve">Excludes about $0.15 of Pace restructuring costs. FY26 diluted EPS was $2.10, including about $0.52 from the tariff recovery.</t>
  </si>
  <si>
    <t xml:space="preserve">NIKE, Inc.: quarterly results</t>
  </si>
  <si>
    <t xml:space="preserve">$ in millions. Nike's fiscal year ends May 31 (Q1 = Jun to Aug). Blue = reported or derived input (comments explain derived cells); black = formula.</t>
  </si>
  <si>
    <t xml:space="preserve">Metric</t>
  </si>
  <si>
    <t xml:space="preserve">Revenue by segment</t>
  </si>
  <si>
    <t xml:space="preserve">$M</t>
  </si>
  <si>
    <t xml:space="preserve">n/a</t>
  </si>
  <si>
    <t xml:space="preserve">Global Brand Divisions and Corporate</t>
  </si>
  <si>
    <t xml:space="preserve">Total revenues</t>
  </si>
  <si>
    <t xml:space="preserve">Revenue growth (YoY)</t>
  </si>
  <si>
    <t xml:space="preserve">NIKE Brand channel (reported YoY change)</t>
  </si>
  <si>
    <t xml:space="preserve">Profitability</t>
  </si>
  <si>
    <t xml:space="preserve">Gross profit (reported)</t>
  </si>
  <si>
    <t xml:space="preserve">IEEPA tariff recovery in gross profit</t>
  </si>
  <si>
    <t xml:space="preserve">Gross profit excluding tariff recovery</t>
  </si>
  <si>
    <t xml:space="preserve">Gross margin (reported)</t>
  </si>
  <si>
    <t xml:space="preserve">Gross margin excluding tariff recovery</t>
  </si>
  <si>
    <t xml:space="preserve">bps</t>
  </si>
  <si>
    <t xml:space="preserve">Demand creation expense</t>
  </si>
  <si>
    <t xml:space="preserve">Operating overhead expense</t>
  </si>
  <si>
    <t xml:space="preserve">Operating profit (GP less demand creation and overhead)</t>
  </si>
  <si>
    <t xml:space="preserve">Operating profit excluding tariff recovery</t>
  </si>
  <si>
    <t xml:space="preserve">Operating margin excluding tariff recovery</t>
  </si>
  <si>
    <t xml:space="preserve">Net income</t>
  </si>
  <si>
    <t xml:space="preserve">Balance sheet</t>
  </si>
  <si>
    <t xml:space="preserve">Inventories (end of quarter)</t>
  </si>
  <si>
    <t xml:space="preserve">Inventory growth (YoY)</t>
  </si>
  <si>
    <t xml:space="preserve">Full-year check</t>
  </si>
  <si>
    <t xml:space="preserve">FY25 (sum)</t>
  </si>
  <si>
    <t xml:space="preserve">FY25 reported</t>
  </si>
  <si>
    <t xml:space="preserve">FY26 (sum)</t>
  </si>
  <si>
    <t xml:space="preserve">FY26 reported</t>
  </si>
  <si>
    <t xml:space="preserve">Notes</t>
  </si>
  <si>
    <t xml:space="preserve">Operating profit here = gross profit less demand creation and operating overhead. Nike's reported EBIT also includes other (income) expense, so it differs slightly (FY26: $3,797M here vs $3,850M EBIT).</t>
  </si>
  <si>
    <t xml:space="preserve">Channel growth rows are the reported year-over-year changes for NIKE Brand; Q2 to Q4 FY26 dollar amounts were released rounded to $0.1B, so the % changes are more precise.</t>
  </si>
  <si>
    <t xml:space="preserve">Q1 and Q3 FY25 segment revenue was not collected; growth rates that need them show n/a.</t>
  </si>
  <si>
    <t xml:space="preserve">FY27 forecast by scenario</t>
  </si>
  <si>
    <t xml:space="preserve">Q1 FY27 is actual. Q2 to Q4 grow from the same quarter of FY26. FY27E = Q1 actual + Q2 to Q4 forecast.</t>
  </si>
  <si>
    <t xml:space="preserve">Base scenario</t>
  </si>
  <si>
    <t xml:space="preserve">Q1 FY27 (actual)</t>
  </si>
  <si>
    <t xml:space="preserve">FY27E</t>
  </si>
  <si>
    <t xml:space="preserve">FY26</t>
  </si>
  <si>
    <t xml:space="preserve">FY26 ex tariff recovery</t>
  </si>
  <si>
    <t xml:space="preserve">Gross margin</t>
  </si>
  <si>
    <t xml:space="preserve">Gross profit</t>
  </si>
  <si>
    <t xml:space="preserve">Operating profit</t>
  </si>
  <si>
    <t xml:space="preserve">Operating margin</t>
  </si>
  <si>
    <t xml:space="preserve">Faster turnaround scenario</t>
  </si>
  <si>
    <t xml:space="preserve">Slower turnaround scenario</t>
  </si>
  <si>
    <t xml:space="preserve">Global Brand Divisions and Corporate revenue is held at the prior-year quarter's level (it is small).</t>
  </si>
  <si>
    <t xml:space="preserve">FY26 ex tariff recovery removes the one-time $986M IEEPA recovery from Q4 FY26 so FY27 is compared with the underlying business.</t>
  </si>
  <si>
    <t xml:space="preserve">Does the forecast fit management's guidance?</t>
  </si>
  <si>
    <t xml:space="preserve">Nike guided FY27 revenue down high single digits. Q1 was only down 4%, so the rest of the year has to fall faster. This tab shows how much.</t>
  </si>
  <si>
    <t xml:space="preserve">Low end (-9%)</t>
  </si>
  <si>
    <t xml:space="preserve">High end (-7%)</t>
  </si>
  <si>
    <t xml:space="preserve">FY26 revenue</t>
  </si>
  <si>
    <t xml:space="preserve">Guided FY27 revenue change</t>
  </si>
  <si>
    <t xml:space="preserve">Implied FY27 revenue</t>
  </si>
  <si>
    <t xml:space="preserve">Less: Q1 FY27 actual</t>
  </si>
  <si>
    <t xml:space="preserve">Implied Q2 to Q4 FY27 revenue</t>
  </si>
  <si>
    <t xml:space="preserve">Q2 to Q4 FY26 revenue</t>
  </si>
  <si>
    <t xml:space="preserve">Implied Q2 to Q4 growth needed</t>
  </si>
  <si>
    <t xml:space="preserve">Q1 FY27 actual growth, for comparison</t>
  </si>
  <si>
    <t xml:space="preserve">Scenario</t>
  </si>
  <si>
    <t xml:space="preserve">vs FY26 ex recovery</t>
  </si>
  <si>
    <t xml:space="preserve">Profit falls faster than revenue?</t>
  </si>
  <si>
    <t xml:space="preserve">Faster turnaround</t>
  </si>
  <si>
    <t xml:space="preserve">Slower turnaround</t>
  </si>
  <si>
    <t xml:space="preserve">Management also said EBIT will decline by a greater percentage than revenue. Column F checks each scenario against that statement.</t>
  </si>
  <si>
    <t xml:space="preserve">Sensitivity: FY27 operating profit (Base)</t>
  </si>
  <si>
    <t xml:space="preserve">Rows = Greater China growth for Q2 to Q4. Columns = gross margin for Q2 to Q4. Everything else stays at Base.</t>
  </si>
  <si>
    <t xml:space="preserve">Base Q2 to Q4 revenue</t>
  </si>
  <si>
    <t xml:space="preserve">Base Greater China growth</t>
  </si>
  <si>
    <t xml:space="preserve">Q2 to Q4 FY26 Greater China revenue</t>
  </si>
  <si>
    <t xml:space="preserve">Q1 FY27 operating profit</t>
  </si>
  <si>
    <t xml:space="preserve">Demand creation % (Base)</t>
  </si>
  <si>
    <t xml:space="preserve">Q2 to Q4 overhead (Base)</t>
  </si>
  <si>
    <t xml:space="preserve">FY27 operating profit ($M)</t>
  </si>
  <si>
    <t xml:space="preserve">Greater China growth ↓ / gross margin →</t>
  </si>
  <si>
    <t xml:space="preserve">Each 1 point of gross margin on Q2 to Q4 revenue is worth roughly $300M of operating profit, several times more than the swing from Greater China.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</si>
</sst>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;\(#,##0\);\-"/>
    <numFmt numFmtId="166" formatCode="0.0%;\(0.0%\);\-"/>
    <numFmt numFmtId="167" formatCode="\+0;\-0;0"/>
    <numFmt numFmtId="168" formatCode="0%"/>
    <numFmt numFmtId="169" formatCode="\$0.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1"/>
      <color rgb="FF1F3A5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FF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333399"/>
      </patternFill>
    </fill>
    <fill>
      <patternFill patternType="solid">
        <fgColor rgb="FFEEF2F7"/>
        <bgColor rgb="FFFFFFFF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3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C0504D"/>
      <rgbColor rgb="FFEEF2F7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07B2A"/>
      <rgbColor rgb="FF4F81BD"/>
      <rgbColor rgb="FF969696"/>
      <rgbColor rgb="FF1F3A5F"/>
      <rgbColor rgb="FF2E8B57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Quarterly revenue, actual vs forecast ($M)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Dashboard!B25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1f3a5f"/>
            </a:solidFill>
            <a:ln w="28080">
              <a:solidFill>
                <a:srgbClr val="1f3a5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Dashboard!$A$26:$A$37</c:f>
              <c:strCache>
                <c:ptCount val="12"/>
                <c:pt idx="0">
                  <c:v>Q1 FY25</c:v>
                </c:pt>
                <c:pt idx="1">
                  <c:v>Q2 FY25</c:v>
                </c:pt>
                <c:pt idx="2">
                  <c:v>Q3 FY25</c:v>
                </c:pt>
                <c:pt idx="3">
                  <c:v>Q4 FY25</c:v>
                </c:pt>
                <c:pt idx="4">
                  <c:v>Q1 FY26</c:v>
                </c:pt>
                <c:pt idx="5">
                  <c:v>Q2 FY26</c:v>
                </c:pt>
                <c:pt idx="6">
                  <c:v>Q3 FY26</c:v>
                </c:pt>
                <c:pt idx="7">
                  <c:v>Q4 FY26</c:v>
                </c:pt>
                <c:pt idx="8">
                  <c:v>Q1 FY27</c:v>
                </c:pt>
                <c:pt idx="9">
                  <c:v>Q2 FY27E</c:v>
                </c:pt>
                <c:pt idx="10">
                  <c:v>Q3 FY27E</c:v>
                </c:pt>
                <c:pt idx="11">
                  <c:v>Q4 FY27E</c:v>
                </c:pt>
              </c:strCache>
            </c:strRef>
          </c:cat>
          <c:val>
            <c:numRef>
              <c:f>Dashboard!$B$26:$B$37</c:f>
              <c:numCache>
                <c:formatCode>#,##0;\(#,##0\);\-</c:formatCode>
                <c:ptCount val="12"/>
                <c:pt idx="0">
                  <c:v>11589</c:v>
                </c:pt>
                <c:pt idx="1">
                  <c:v>12354</c:v>
                </c:pt>
                <c:pt idx="2">
                  <c:v>11269</c:v>
                </c:pt>
                <c:pt idx="3">
                  <c:v>11097</c:v>
                </c:pt>
                <c:pt idx="4">
                  <c:v>11720</c:v>
                </c:pt>
                <c:pt idx="5">
                  <c:v>12427</c:v>
                </c:pt>
                <c:pt idx="6">
                  <c:v>11279</c:v>
                </c:pt>
                <c:pt idx="7">
                  <c:v>10972</c:v>
                </c:pt>
                <c:pt idx="8">
                  <c:v>11213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Dashboard!C25</c:f>
              <c:strCache>
                <c:ptCount val="1"/>
                <c:pt idx="0">
                  <c:v>Base</c:v>
                </c:pt>
              </c:strCache>
            </c:strRef>
          </c:tx>
          <c:spPr>
            <a:solidFill>
              <a:srgbClr val="e07b2a"/>
            </a:solidFill>
            <a:ln w="28080">
              <a:solidFill>
                <a:srgbClr val="e07b2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Dashboard!$A$26:$A$37</c:f>
              <c:strCache>
                <c:ptCount val="12"/>
                <c:pt idx="0">
                  <c:v>Q1 FY25</c:v>
                </c:pt>
                <c:pt idx="1">
                  <c:v>Q2 FY25</c:v>
                </c:pt>
                <c:pt idx="2">
                  <c:v>Q3 FY25</c:v>
                </c:pt>
                <c:pt idx="3">
                  <c:v>Q4 FY25</c:v>
                </c:pt>
                <c:pt idx="4">
                  <c:v>Q1 FY26</c:v>
                </c:pt>
                <c:pt idx="5">
                  <c:v>Q2 FY26</c:v>
                </c:pt>
                <c:pt idx="6">
                  <c:v>Q3 FY26</c:v>
                </c:pt>
                <c:pt idx="7">
                  <c:v>Q4 FY26</c:v>
                </c:pt>
                <c:pt idx="8">
                  <c:v>Q1 FY27</c:v>
                </c:pt>
                <c:pt idx="9">
                  <c:v>Q2 FY27E</c:v>
                </c:pt>
                <c:pt idx="10">
                  <c:v>Q3 FY27E</c:v>
                </c:pt>
                <c:pt idx="11">
                  <c:v>Q4 FY27E</c:v>
                </c:pt>
              </c:strCache>
            </c:strRef>
          </c:cat>
          <c:val>
            <c:numRef>
              <c:f>Dashboard!$C$26:$C$37</c:f>
              <c:numCache>
                <c:formatCode>#,##0;\(#,##0\);\-</c:formatCode>
                <c:ptCount val="12"/>
                <c:pt idx="8">
                  <c:v>11213</c:v>
                </c:pt>
                <c:pt idx="9">
                  <c:v>11333.38</c:v>
                </c:pt>
                <c:pt idx="10">
                  <c:v>10246.96</c:v>
                </c:pt>
                <c:pt idx="11">
                  <c:v>10007.76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Dashboard!D25</c:f>
              <c:strCache>
                <c:ptCount val="1"/>
                <c:pt idx="0">
                  <c:v>Faster</c:v>
                </c:pt>
              </c:strCache>
            </c:strRef>
          </c:tx>
          <c:spPr>
            <a:solidFill>
              <a:srgbClr val="2e8b57"/>
            </a:solidFill>
            <a:ln w="28080">
              <a:solidFill>
                <a:srgbClr val="2e8b57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Dashboard!$A$26:$A$37</c:f>
              <c:strCache>
                <c:ptCount val="12"/>
                <c:pt idx="0">
                  <c:v>Q1 FY25</c:v>
                </c:pt>
                <c:pt idx="1">
                  <c:v>Q2 FY25</c:v>
                </c:pt>
                <c:pt idx="2">
                  <c:v>Q3 FY25</c:v>
                </c:pt>
                <c:pt idx="3">
                  <c:v>Q4 FY25</c:v>
                </c:pt>
                <c:pt idx="4">
                  <c:v>Q1 FY26</c:v>
                </c:pt>
                <c:pt idx="5">
                  <c:v>Q2 FY26</c:v>
                </c:pt>
                <c:pt idx="6">
                  <c:v>Q3 FY26</c:v>
                </c:pt>
                <c:pt idx="7">
                  <c:v>Q4 FY26</c:v>
                </c:pt>
                <c:pt idx="8">
                  <c:v>Q1 FY27</c:v>
                </c:pt>
                <c:pt idx="9">
                  <c:v>Q2 FY27E</c:v>
                </c:pt>
                <c:pt idx="10">
                  <c:v>Q3 FY27E</c:v>
                </c:pt>
                <c:pt idx="11">
                  <c:v>Q4 FY27E</c:v>
                </c:pt>
              </c:strCache>
            </c:strRef>
          </c:cat>
          <c:val>
            <c:numRef>
              <c:f>Dashboard!$D$26:$D$37</c:f>
              <c:numCache>
                <c:formatCode>#,##0;\(#,##0\);\-</c:formatCode>
                <c:ptCount val="12"/>
                <c:pt idx="8">
                  <c:v>11213</c:v>
                </c:pt>
                <c:pt idx="9">
                  <c:v>11938.56</c:v>
                </c:pt>
                <c:pt idx="10">
                  <c:v>10808.24</c:v>
                </c:pt>
                <c:pt idx="11">
                  <c:v>10539.52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Dashboard!E25</c:f>
              <c:strCache>
                <c:ptCount val="1"/>
                <c:pt idx="0">
                  <c:v>Slower</c:v>
                </c:pt>
              </c:strCache>
            </c:strRef>
          </c:tx>
          <c:spPr>
            <a:solidFill>
              <a:srgbClr val="c0504d"/>
            </a:solidFill>
            <a:ln w="28080">
              <a:solidFill>
                <a:srgbClr val="c0504d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Dashboard!$A$26:$A$37</c:f>
              <c:strCache>
                <c:ptCount val="12"/>
                <c:pt idx="0">
                  <c:v>Q1 FY25</c:v>
                </c:pt>
                <c:pt idx="1">
                  <c:v>Q2 FY25</c:v>
                </c:pt>
                <c:pt idx="2">
                  <c:v>Q3 FY25</c:v>
                </c:pt>
                <c:pt idx="3">
                  <c:v>Q4 FY25</c:v>
                </c:pt>
                <c:pt idx="4">
                  <c:v>Q1 FY26</c:v>
                </c:pt>
                <c:pt idx="5">
                  <c:v>Q2 FY26</c:v>
                </c:pt>
                <c:pt idx="6">
                  <c:v>Q3 FY26</c:v>
                </c:pt>
                <c:pt idx="7">
                  <c:v>Q4 FY26</c:v>
                </c:pt>
                <c:pt idx="8">
                  <c:v>Q1 FY27</c:v>
                </c:pt>
                <c:pt idx="9">
                  <c:v>Q2 FY27E</c:v>
                </c:pt>
                <c:pt idx="10">
                  <c:v>Q3 FY27E</c:v>
                </c:pt>
                <c:pt idx="11">
                  <c:v>Q4 FY27E</c:v>
                </c:pt>
              </c:strCache>
            </c:strRef>
          </c:cat>
          <c:val>
            <c:numRef>
              <c:f>Dashboard!$E$26:$E$37</c:f>
              <c:numCache>
                <c:formatCode>#,##0;\(#,##0\);\-</c:formatCode>
                <c:ptCount val="12"/>
                <c:pt idx="8">
                  <c:v>11213</c:v>
                </c:pt>
                <c:pt idx="9">
                  <c:v>10874.78</c:v>
                </c:pt>
                <c:pt idx="10">
                  <c:v>9814.94</c:v>
                </c:pt>
                <c:pt idx="11">
                  <c:v>9602.39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2868707"/>
        <c:axId val="44485676"/>
      </c:lineChart>
      <c:catAx>
        <c:axId val="28687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4485676"/>
        <c:crosses val="autoZero"/>
        <c:auto val="1"/>
        <c:lblAlgn val="ctr"/>
        <c:lblOffset val="100"/>
        <c:noMultiLvlLbl val="0"/>
      </c:catAx>
      <c:valAx>
        <c:axId val="44485676"/>
        <c:scaling>
          <c:orientation val="minMax"/>
          <c:min val="9500"/>
        </c:scaling>
        <c:delete val="0"/>
        <c:axPos val="l"/>
        <c:numFmt formatCode="#,##0;\(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86870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Q1 FY27 revenue growth by segment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Dashboard!B41</c:f>
              <c:strCache>
                <c:ptCount val="1"/>
                <c:pt idx="0">
                  <c:v>YoY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Dashboard!$A$42:$A$46</c:f>
              <c:strCache>
                <c:ptCount val="5"/>
                <c:pt idx="0">
                  <c:v>North America</c:v>
                </c:pt>
                <c:pt idx="1">
                  <c:v>EMEA</c:v>
                </c:pt>
                <c:pt idx="2">
                  <c:v>Greater China</c:v>
                </c:pt>
                <c:pt idx="3">
                  <c:v>APLA</c:v>
                </c:pt>
                <c:pt idx="4">
                  <c:v>Converse</c:v>
                </c:pt>
              </c:strCache>
            </c:strRef>
          </c:cat>
          <c:val>
            <c:numRef>
              <c:f>Dashboard!$B$42:$B$46</c:f>
              <c:numCache>
                <c:formatCode>0.0%;\(0.0%\);\-</c:formatCode>
                <c:ptCount val="5"/>
                <c:pt idx="0">
                  <c:v>0.0213147410358565</c:v>
                </c:pt>
                <c:pt idx="1">
                  <c:v>-0.0465325728009607</c:v>
                </c:pt>
                <c:pt idx="2">
                  <c:v>-0.21957671957672</c:v>
                </c:pt>
                <c:pt idx="3">
                  <c:v>-0.0181208053691275</c:v>
                </c:pt>
                <c:pt idx="4">
                  <c:v>-0.281420765027322</c:v>
                </c:pt>
              </c:numCache>
            </c:numRef>
          </c:val>
        </c:ser>
        <c:gapWidth val="150"/>
        <c:overlap val="0"/>
        <c:axId val="83433544"/>
        <c:axId val="53788386"/>
      </c:barChart>
      <c:catAx>
        <c:axId val="83433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3788386"/>
        <c:crosses val="autoZero"/>
        <c:auto val="1"/>
        <c:lblAlgn val="ctr"/>
        <c:lblOffset val="100"/>
        <c:noMultiLvlLbl val="0"/>
      </c:catAx>
      <c:valAx>
        <c:axId val="53788386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343354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2</xdr:row>
      <xdr:rowOff>131040</xdr:rowOff>
    </xdr:from>
    <xdr:to>
      <xdr:col>18</xdr:col>
      <xdr:colOff>364680</xdr:colOff>
      <xdr:row>18</xdr:row>
      <xdr:rowOff>142560</xdr:rowOff>
    </xdr:to>
    <xdr:graphicFrame>
      <xdr:nvGraphicFramePr>
        <xdr:cNvPr id="0" name="Chart 1"/>
        <xdr:cNvGraphicFramePr/>
      </xdr:nvGraphicFramePr>
      <xdr:xfrm>
        <a:off x="13298760" y="571680"/>
        <a:ext cx="647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22</xdr:row>
      <xdr:rowOff>131040</xdr:rowOff>
    </xdr:from>
    <xdr:to>
      <xdr:col>18</xdr:col>
      <xdr:colOff>364680</xdr:colOff>
      <xdr:row>35</xdr:row>
      <xdr:rowOff>173880</xdr:rowOff>
    </xdr:to>
    <xdr:graphicFrame>
      <xdr:nvGraphicFramePr>
        <xdr:cNvPr id="1" name="Chart 2"/>
        <xdr:cNvGraphicFramePr/>
      </xdr:nvGraphicFramePr>
      <xdr:xfrm>
        <a:off x="13298760" y="4381560"/>
        <a:ext cx="647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4" t="s">
        <v>7</v>
      </c>
    </row>
    <row r="11" customFormat="false" ht="15" hidden="false" customHeight="false" outlineLevel="0" collapsed="false">
      <c r="A11" s="4" t="s">
        <v>8</v>
      </c>
    </row>
    <row r="12" customFormat="false" ht="15" hidden="false" customHeight="false" outlineLevel="0" collapsed="false">
      <c r="A12" s="4" t="s">
        <v>9</v>
      </c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4" t="s">
        <v>11</v>
      </c>
    </row>
    <row r="17" customFormat="false" ht="15" hidden="false" customHeight="false" outlineLevel="0" collapsed="false">
      <c r="A17" s="3" t="s">
        <v>12</v>
      </c>
    </row>
    <row r="18" customFormat="false" ht="15" hidden="false" customHeight="false" outlineLevel="0" collapsed="false">
      <c r="A18" s="4" t="s">
        <v>13</v>
      </c>
    </row>
    <row r="20" customFormat="false" ht="15" hidden="false" customHeight="false" outlineLevel="0" collapsed="false">
      <c r="A20" s="3" t="s">
        <v>14</v>
      </c>
    </row>
    <row r="21" customFormat="false" ht="15" hidden="false" customHeight="false" outlineLevel="0" collapsed="false">
      <c r="A21" s="4" t="s">
        <v>15</v>
      </c>
    </row>
    <row r="22" customFormat="false" ht="15" hidden="false" customHeight="false" outlineLevel="0" collapsed="false">
      <c r="A22" s="4" t="s">
        <v>16</v>
      </c>
    </row>
    <row r="23" customFormat="false" ht="15" hidden="false" customHeight="false" outlineLevel="0" collapsed="false">
      <c r="A23" s="4" t="s">
        <v>17</v>
      </c>
    </row>
    <row r="24" customFormat="false" ht="15" hidden="false" customHeight="false" outlineLevel="0" collapsed="false">
      <c r="A24" s="4" t="s">
        <v>18</v>
      </c>
    </row>
    <row r="26" customFormat="false" ht="15" hidden="false" customHeight="false" outlineLevel="0" collapsed="false">
      <c r="A26" s="3" t="s">
        <v>19</v>
      </c>
    </row>
    <row r="27" customFormat="false" ht="15" hidden="false" customHeight="false" outlineLevel="0" collapsed="false">
      <c r="A27" s="4" t="s">
        <v>20</v>
      </c>
    </row>
    <row r="28" customFormat="false" ht="15" hidden="false" customHeight="false" outlineLevel="0" collapsed="false">
      <c r="A28" s="4" t="s">
        <v>21</v>
      </c>
    </row>
    <row r="29" customFormat="false" ht="15" hidden="false" customHeight="false" outlineLevel="0" collapsed="false">
      <c r="A29" s="4" t="s">
        <v>22</v>
      </c>
    </row>
    <row r="30" customFormat="false" ht="15" hidden="false" customHeight="false" outlineLevel="0" collapsed="false">
      <c r="A30" s="4" t="s">
        <v>23</v>
      </c>
    </row>
    <row r="31" customFormat="false" ht="15" hidden="false" customHeight="false" outlineLevel="0" collapsed="false">
      <c r="A31" s="4" t="s">
        <v>24</v>
      </c>
    </row>
    <row r="32" customFormat="false" ht="15" hidden="false" customHeight="false" outlineLevel="0" collapsed="false">
      <c r="A32" s="4" t="s">
        <v>25</v>
      </c>
    </row>
    <row r="33" customFormat="false" ht="15" hidden="false" customHeight="false" outlineLevel="0" collapsed="false">
      <c r="A33" s="4" t="s">
        <v>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6" min="2" style="0" width="12"/>
    <col collapsed="false" customWidth="true" hidden="false" outlineLevel="0" max="7" min="7" style="0" width="80"/>
  </cols>
  <sheetData>
    <row r="1" customFormat="false" ht="19.7" hidden="false" customHeight="false" outlineLevel="0" collapsed="false">
      <c r="A1" s="1" t="s">
        <v>27</v>
      </c>
    </row>
    <row r="2" customFormat="false" ht="15" hidden="false" customHeight="false" outlineLevel="0" collapsed="false">
      <c r="A2" s="2" t="str">
        <f aca="false">"Scenario shown: "&amp;Inputs!$D$4&amp;"  (change it on the Inputs tab, cell C4)"</f>
        <v>Scenario shown: Base  (change it on the Inputs tab, cell C4)</v>
      </c>
    </row>
    <row r="4" customFormat="false" ht="15" hidden="false" customHeight="false" outlineLevel="0" collapsed="false">
      <c r="A4" s="5" t="s">
        <v>28</v>
      </c>
      <c r="B4" s="6" t="s">
        <v>29</v>
      </c>
      <c r="C4" s="6" t="s">
        <v>30</v>
      </c>
      <c r="D4" s="6" t="s">
        <v>31</v>
      </c>
      <c r="E4" s="6" t="s">
        <v>32</v>
      </c>
    </row>
    <row r="5" customFormat="false" ht="15" hidden="false" customHeight="false" outlineLevel="0" collapsed="false">
      <c r="A5" s="4" t="s">
        <v>33</v>
      </c>
      <c r="B5" s="7" t="n">
        <f aca="false">CHOOSE(Inputs!$C$4,C5,D5,E5)</f>
        <v>42801.1</v>
      </c>
      <c r="C5" s="8" t="n">
        <f aca="false">Forecast!G12</f>
        <v>42801.1</v>
      </c>
      <c r="D5" s="8" t="n">
        <f aca="false">Forecast!G30</f>
        <v>44499.32</v>
      </c>
      <c r="E5" s="8" t="n">
        <f aca="false">Forecast!G48</f>
        <v>41505.11</v>
      </c>
    </row>
    <row r="6" customFormat="false" ht="15" hidden="false" customHeight="false" outlineLevel="0" collapsed="false">
      <c r="A6" s="4" t="s">
        <v>34</v>
      </c>
      <c r="B6" s="9" t="n">
        <f aca="false">CHOOSE(Inputs!$C$4,C6,D6,E6)</f>
        <v>-0.0775227380490541</v>
      </c>
      <c r="C6" s="10" t="n">
        <f aca="false">Forecast!G13</f>
        <v>-0.0775227380490541</v>
      </c>
      <c r="D6" s="10" t="n">
        <f aca="false">Forecast!G31</f>
        <v>-0.0409215914479072</v>
      </c>
      <c r="E6" s="10" t="n">
        <f aca="false">Forecast!G49</f>
        <v>-0.105454760981077</v>
      </c>
    </row>
    <row r="7" customFormat="false" ht="15" hidden="false" customHeight="false" outlineLevel="0" collapsed="false">
      <c r="A7" s="4" t="s">
        <v>35</v>
      </c>
      <c r="B7" s="9" t="n">
        <f aca="false">CHOOSE(Inputs!$C$4,C7,D7,E7)</f>
        <v>0.418378534663829</v>
      </c>
      <c r="C7" s="10" t="n">
        <f aca="false">Forecast!G14</f>
        <v>0.418378534663829</v>
      </c>
      <c r="D7" s="10" t="n">
        <f aca="false">Forecast!G32</f>
        <v>0.421989693325651</v>
      </c>
      <c r="E7" s="10" t="n">
        <f aca="false">Forecast!G50</f>
        <v>0.407536421418953</v>
      </c>
    </row>
    <row r="8" customFormat="false" ht="15" hidden="false" customHeight="false" outlineLevel="0" collapsed="false">
      <c r="A8" s="4" t="s">
        <v>36</v>
      </c>
      <c r="B8" s="7" t="n">
        <f aca="false">CHOOSE(Inputs!$C$4,C8,D8,E8)</f>
        <v>2394.8267</v>
      </c>
      <c r="C8" s="8" t="n">
        <f aca="false">Forecast!G18</f>
        <v>2394.8267</v>
      </c>
      <c r="D8" s="8" t="n">
        <f aca="false">Forecast!G36</f>
        <v>3267.7908</v>
      </c>
      <c r="E8" s="8" t="n">
        <f aca="false">Forecast!G54</f>
        <v>1250.76768</v>
      </c>
    </row>
    <row r="9" customFormat="false" ht="15" hidden="false" customHeight="false" outlineLevel="0" collapsed="false">
      <c r="A9" s="4" t="s">
        <v>37</v>
      </c>
      <c r="B9" s="9" t="n">
        <f aca="false">CHOOSE(Inputs!$C$4,C9,D9,E9)</f>
        <v>0.0559524568293805</v>
      </c>
      <c r="C9" s="10" t="n">
        <f aca="false">Forecast!G19</f>
        <v>0.0559524568293805</v>
      </c>
      <c r="D9" s="10" t="n">
        <f aca="false">Forecast!G37</f>
        <v>0.0734346232706477</v>
      </c>
      <c r="E9" s="10" t="n">
        <f aca="false">Forecast!G55</f>
        <v>0.0301352696089711</v>
      </c>
    </row>
    <row r="10" customFormat="false" ht="15" hidden="false" customHeight="false" outlineLevel="0" collapsed="false">
      <c r="A10" s="4" t="s">
        <v>38</v>
      </c>
      <c r="B10" s="11" t="str">
        <f aca="false">CHOOSE(Inputs!$C$4,C10,D10,E10)</f>
        <v>Yes</v>
      </c>
      <c r="C10" s="12" t="str">
        <f aca="false">'Guidance check'!C15</f>
        <v>Yes</v>
      </c>
      <c r="D10" s="12" t="str">
        <f aca="false">'Guidance check'!C16</f>
        <v>Above guidance</v>
      </c>
      <c r="E10" s="12" t="str">
        <f aca="false">'Guidance check'!C17</f>
        <v>Below guidance</v>
      </c>
    </row>
    <row r="12" customFormat="false" ht="15" hidden="false" customHeight="false" outlineLevel="0" collapsed="false">
      <c r="A12" s="3" t="s">
        <v>39</v>
      </c>
    </row>
    <row r="13" customFormat="false" ht="15" hidden="false" customHeight="false" outlineLevel="0" collapsed="false">
      <c r="A13" s="5" t="s">
        <v>40</v>
      </c>
      <c r="B13" s="6" t="s">
        <v>41</v>
      </c>
      <c r="C13" s="6" t="s">
        <v>42</v>
      </c>
      <c r="D13" s="6" t="s">
        <v>43</v>
      </c>
      <c r="E13" s="6" t="s">
        <v>44</v>
      </c>
      <c r="F13" s="6" t="s">
        <v>45</v>
      </c>
      <c r="G13" s="6" t="s">
        <v>46</v>
      </c>
    </row>
    <row r="14" customFormat="false" ht="15" hidden="false" customHeight="false" outlineLevel="0" collapsed="false">
      <c r="A14" s="4" t="s">
        <v>47</v>
      </c>
      <c r="B14" s="10" t="n">
        <f aca="false">Historicals!H13</f>
        <v>0.00590901732232485</v>
      </c>
      <c r="C14" s="10" t="n">
        <f aca="false">Historicals!I13</f>
        <v>0.000887390185464465</v>
      </c>
      <c r="D14" s="10" t="n">
        <f aca="false">Historicals!J13</f>
        <v>-0.0112643056681986</v>
      </c>
      <c r="E14" s="10" t="n">
        <f aca="false">Historicals!K13</f>
        <v>-0.043259385665529</v>
      </c>
      <c r="F14" s="13" t="str">
        <f aca="false">IF(E14&gt;B14,"Improving","Worsening")</f>
        <v>Worsening</v>
      </c>
      <c r="G14" s="2" t="s">
        <v>48</v>
      </c>
    </row>
    <row r="15" customFormat="false" ht="15" hidden="false" customHeight="false" outlineLevel="0" collapsed="false">
      <c r="A15" s="4" t="s">
        <v>49</v>
      </c>
      <c r="B15" s="10" t="n">
        <f aca="false">Historicals!H14</f>
        <v>0.087661710754972</v>
      </c>
      <c r="C15" s="10" t="str">
        <f aca="false">Historicals!I14</f>
        <v>n/a</v>
      </c>
      <c r="D15" s="10" t="n">
        <f aca="false">Historicals!J14</f>
        <v>0.0274293004465236</v>
      </c>
      <c r="E15" s="10" t="n">
        <f aca="false">Historicals!K14</f>
        <v>0.0213147410358565</v>
      </c>
      <c r="F15" s="13" t="str">
        <f aca="false">IF(E15&gt;B15,"Improving","Worsening")</f>
        <v>Worsening</v>
      </c>
      <c r="G15" s="2" t="s">
        <v>50</v>
      </c>
    </row>
    <row r="16" customFormat="false" ht="15" hidden="false" customHeight="false" outlineLevel="0" collapsed="false">
      <c r="A16" s="4" t="s">
        <v>51</v>
      </c>
      <c r="B16" s="10" t="n">
        <f aca="false">Historicals!H16</f>
        <v>-0.168322618351841</v>
      </c>
      <c r="C16" s="10" t="str">
        <f aca="false">Historicals!I16</f>
        <v>n/a</v>
      </c>
      <c r="D16" s="10" t="n">
        <f aca="false">Historicals!J16</f>
        <v>-0.121273712737127</v>
      </c>
      <c r="E16" s="10" t="n">
        <f aca="false">Historicals!K16</f>
        <v>-0.21957671957672</v>
      </c>
      <c r="F16" s="13" t="str">
        <f aca="false">IF(E16&gt;B16,"Improving","Worsening")</f>
        <v>Worsening</v>
      </c>
      <c r="G16" s="2" t="s">
        <v>52</v>
      </c>
    </row>
    <row r="17" customFormat="false" ht="15" hidden="false" customHeight="false" outlineLevel="0" collapsed="false">
      <c r="A17" s="4" t="s">
        <v>53</v>
      </c>
      <c r="B17" s="10" t="n">
        <f aca="false">Historicals!H20</f>
        <v>-0.08</v>
      </c>
      <c r="C17" s="10" t="n">
        <f aca="false">Historicals!I20</f>
        <v>-0.04</v>
      </c>
      <c r="D17" s="10" t="n">
        <f aca="false">Historicals!J20</f>
        <v>-0.07</v>
      </c>
      <c r="E17" s="10" t="n">
        <f aca="false">Historicals!K20</f>
        <v>-0.08</v>
      </c>
      <c r="F17" s="13" t="str">
        <f aca="false">IF(E17&gt;B17,"Improving","Worsening")</f>
        <v>Worsening</v>
      </c>
      <c r="G17" s="2" t="s">
        <v>54</v>
      </c>
    </row>
    <row r="18" customFormat="false" ht="15" hidden="false" customHeight="false" outlineLevel="0" collapsed="false">
      <c r="A18" s="4" t="s">
        <v>55</v>
      </c>
      <c r="B18" s="10" t="n">
        <f aca="false">Historicals!H21</f>
        <v>0.08</v>
      </c>
      <c r="C18" s="10" t="n">
        <f aca="false">Historicals!I21</f>
        <v>0.05</v>
      </c>
      <c r="D18" s="10" t="n">
        <f aca="false">Historicals!J21</f>
        <v>0.04</v>
      </c>
      <c r="E18" s="10" t="n">
        <f aca="false">Historicals!K21</f>
        <v>-0.01</v>
      </c>
      <c r="F18" s="13" t="str">
        <f aca="false">IF(E18&gt;B18,"Improving","Worsening")</f>
        <v>Worsening</v>
      </c>
      <c r="G18" s="2" t="s">
        <v>56</v>
      </c>
    </row>
    <row r="19" customFormat="false" ht="15" hidden="false" customHeight="false" outlineLevel="0" collapsed="false">
      <c r="A19" s="4" t="s">
        <v>57</v>
      </c>
      <c r="B19" s="14" t="n">
        <f aca="false">Historicals!H28</f>
        <v>-302.441212159015</v>
      </c>
      <c r="C19" s="14" t="n">
        <f aca="false">Historicals!I28</f>
        <v>-132.235614076644</v>
      </c>
      <c r="D19" s="14" t="n">
        <f aca="false">Historicals!J28</f>
        <v>-10.6268847692492</v>
      </c>
      <c r="E19" s="14" t="n">
        <f aca="false">Historicals!K28</f>
        <v>61.385127392054</v>
      </c>
      <c r="F19" s="13" t="str">
        <f aca="false">IF(E19&gt;B19,"Improving","Worsening")</f>
        <v>Improving</v>
      </c>
      <c r="G19" s="2" t="s">
        <v>58</v>
      </c>
    </row>
    <row r="20" customFormat="false" ht="15" hidden="false" customHeight="false" outlineLevel="0" collapsed="false">
      <c r="A20" s="4" t="s">
        <v>59</v>
      </c>
      <c r="B20" s="10" t="n">
        <f aca="false">Historicals!H32</f>
        <v>-0.040582726326743</v>
      </c>
      <c r="C20" s="10" t="n">
        <f aca="false">Historicals!I32</f>
        <v>0.0314397999285458</v>
      </c>
      <c r="D20" s="10" t="n">
        <f aca="false">Historicals!J32</f>
        <v>-0.00552677029360971</v>
      </c>
      <c r="E20" s="10" t="n">
        <f aca="false">Historicals!K32</f>
        <v>-0.0601131541725601</v>
      </c>
      <c r="F20" s="13" t="str">
        <f aca="false">IF(E20&lt;B20,"Improving","Worsening")</f>
        <v>Improving</v>
      </c>
      <c r="G20" s="2" t="s">
        <v>60</v>
      </c>
    </row>
    <row r="22" customFormat="false" ht="15" hidden="false" customHeight="false" outlineLevel="0" collapsed="false">
      <c r="A22" s="13" t="str">
        <f aca="false">"Signals improving since Q2 FY26: "&amp;COUNTIF(F14:F20,"Improving")&amp;" of 7"</f>
        <v>Signals improving since Q2 FY26: 2 of 7</v>
      </c>
    </row>
    <row r="24" customFormat="false" ht="15" hidden="false" customHeight="false" outlineLevel="0" collapsed="false">
      <c r="A24" s="3" t="s">
        <v>61</v>
      </c>
    </row>
    <row r="25" customFormat="false" ht="15" hidden="false" customHeight="false" outlineLevel="0" collapsed="false">
      <c r="A25" s="5" t="s">
        <v>62</v>
      </c>
      <c r="B25" s="6" t="s">
        <v>63</v>
      </c>
      <c r="C25" s="6" t="s">
        <v>30</v>
      </c>
      <c r="D25" s="6" t="s">
        <v>31</v>
      </c>
      <c r="E25" s="6" t="s">
        <v>32</v>
      </c>
    </row>
    <row r="26" customFormat="false" ht="15" hidden="false" customHeight="false" outlineLevel="0" collapsed="false">
      <c r="A26" s="4" t="s">
        <v>64</v>
      </c>
      <c r="B26" s="8" t="n">
        <f aca="false">Historicals!C11</f>
        <v>11589</v>
      </c>
    </row>
    <row r="27" customFormat="false" ht="15" hidden="false" customHeight="false" outlineLevel="0" collapsed="false">
      <c r="A27" s="4" t="s">
        <v>65</v>
      </c>
      <c r="B27" s="8" t="n">
        <f aca="false">Historicals!D11</f>
        <v>12354</v>
      </c>
    </row>
    <row r="28" customFormat="false" ht="15" hidden="false" customHeight="false" outlineLevel="0" collapsed="false">
      <c r="A28" s="4" t="s">
        <v>66</v>
      </c>
      <c r="B28" s="8" t="n">
        <f aca="false">Historicals!E11</f>
        <v>11269</v>
      </c>
    </row>
    <row r="29" customFormat="false" ht="15" hidden="false" customHeight="false" outlineLevel="0" collapsed="false">
      <c r="A29" s="4" t="s">
        <v>67</v>
      </c>
      <c r="B29" s="8" t="n">
        <f aca="false">Historicals!F11</f>
        <v>11097</v>
      </c>
    </row>
    <row r="30" customFormat="false" ht="15" hidden="false" customHeight="false" outlineLevel="0" collapsed="false">
      <c r="A30" s="4" t="s">
        <v>68</v>
      </c>
      <c r="B30" s="8" t="n">
        <f aca="false">Historicals!G11</f>
        <v>11720</v>
      </c>
    </row>
    <row r="31" customFormat="false" ht="15" hidden="false" customHeight="false" outlineLevel="0" collapsed="false">
      <c r="A31" s="4" t="s">
        <v>41</v>
      </c>
      <c r="B31" s="8" t="n">
        <f aca="false">Historicals!H11</f>
        <v>12427</v>
      </c>
    </row>
    <row r="32" customFormat="false" ht="15" hidden="false" customHeight="false" outlineLevel="0" collapsed="false">
      <c r="A32" s="4" t="s">
        <v>42</v>
      </c>
      <c r="B32" s="8" t="n">
        <f aca="false">Historicals!I11</f>
        <v>11279</v>
      </c>
    </row>
    <row r="33" customFormat="false" ht="15" hidden="false" customHeight="false" outlineLevel="0" collapsed="false">
      <c r="A33" s="4" t="s">
        <v>43</v>
      </c>
      <c r="B33" s="8" t="n">
        <f aca="false">Historicals!J11</f>
        <v>10972</v>
      </c>
    </row>
    <row r="34" customFormat="false" ht="15" hidden="false" customHeight="false" outlineLevel="0" collapsed="false">
      <c r="A34" s="4" t="s">
        <v>44</v>
      </c>
      <c r="B34" s="8" t="n">
        <f aca="false">Historicals!K11</f>
        <v>11213</v>
      </c>
      <c r="C34" s="15" t="n">
        <f aca="false">B34</f>
        <v>11213</v>
      </c>
      <c r="D34" s="15" t="n">
        <f aca="false">B34</f>
        <v>11213</v>
      </c>
      <c r="E34" s="15" t="n">
        <f aca="false">B34</f>
        <v>11213</v>
      </c>
    </row>
    <row r="35" customFormat="false" ht="15" hidden="false" customHeight="false" outlineLevel="0" collapsed="false">
      <c r="A35" s="4" t="s">
        <v>69</v>
      </c>
      <c r="C35" s="8" t="n">
        <f aca="false">Forecast!D12</f>
        <v>11333.38</v>
      </c>
      <c r="D35" s="8" t="n">
        <f aca="false">Forecast!D30</f>
        <v>11938.56</v>
      </c>
      <c r="E35" s="8" t="n">
        <f aca="false">Forecast!D48</f>
        <v>10874.78</v>
      </c>
    </row>
    <row r="36" customFormat="false" ht="15" hidden="false" customHeight="false" outlineLevel="0" collapsed="false">
      <c r="A36" s="4" t="s">
        <v>70</v>
      </c>
      <c r="C36" s="8" t="n">
        <f aca="false">Forecast!E12</f>
        <v>10246.96</v>
      </c>
      <c r="D36" s="8" t="n">
        <f aca="false">Forecast!E30</f>
        <v>10808.24</v>
      </c>
      <c r="E36" s="8" t="n">
        <f aca="false">Forecast!E48</f>
        <v>9814.94</v>
      </c>
    </row>
    <row r="37" customFormat="false" ht="15" hidden="false" customHeight="false" outlineLevel="0" collapsed="false">
      <c r="A37" s="4" t="s">
        <v>71</v>
      </c>
      <c r="C37" s="8" t="n">
        <f aca="false">Forecast!F12</f>
        <v>10007.76</v>
      </c>
      <c r="D37" s="8" t="n">
        <f aca="false">Forecast!F30</f>
        <v>10539.52</v>
      </c>
      <c r="E37" s="8" t="n">
        <f aca="false">Forecast!F48</f>
        <v>9602.39</v>
      </c>
    </row>
    <row r="40" customFormat="false" ht="15" hidden="false" customHeight="false" outlineLevel="0" collapsed="false">
      <c r="A40" s="3" t="s">
        <v>72</v>
      </c>
    </row>
    <row r="41" customFormat="false" ht="15" hidden="false" customHeight="false" outlineLevel="0" collapsed="false">
      <c r="A41" s="5" t="s">
        <v>73</v>
      </c>
      <c r="B41" s="6" t="s">
        <v>74</v>
      </c>
    </row>
    <row r="42" customFormat="false" ht="15" hidden="false" customHeight="false" outlineLevel="0" collapsed="false">
      <c r="A42" s="4" t="s">
        <v>75</v>
      </c>
      <c r="B42" s="10" t="n">
        <f aca="false">Historicals!K14</f>
        <v>0.0213147410358565</v>
      </c>
    </row>
    <row r="43" customFormat="false" ht="15" hidden="false" customHeight="false" outlineLevel="0" collapsed="false">
      <c r="A43" s="4" t="s">
        <v>76</v>
      </c>
      <c r="B43" s="10" t="n">
        <f aca="false">Historicals!K15</f>
        <v>-0.0465325728009607</v>
      </c>
    </row>
    <row r="44" customFormat="false" ht="15" hidden="false" customHeight="false" outlineLevel="0" collapsed="false">
      <c r="A44" s="4" t="s">
        <v>77</v>
      </c>
      <c r="B44" s="10" t="n">
        <f aca="false">Historicals!K16</f>
        <v>-0.21957671957672</v>
      </c>
    </row>
    <row r="45" customFormat="false" ht="15" hidden="false" customHeight="false" outlineLevel="0" collapsed="false">
      <c r="A45" s="4" t="s">
        <v>78</v>
      </c>
      <c r="B45" s="10" t="n">
        <f aca="false">Historicals!K17</f>
        <v>-0.0181208053691275</v>
      </c>
    </row>
    <row r="46" customFormat="false" ht="15" hidden="false" customHeight="false" outlineLevel="0" collapsed="false">
      <c r="A46" s="4" t="s">
        <v>79</v>
      </c>
      <c r="B46" s="10" t="n">
        <f aca="false">Historicals!K18</f>
        <v>-0.281420765027322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0"/>
  </cols>
  <sheetData>
    <row r="1" customFormat="false" ht="19.7" hidden="false" customHeight="false" outlineLevel="0" collapsed="false">
      <c r="A1" s="1" t="s">
        <v>80</v>
      </c>
    </row>
    <row r="2" customFormat="false" ht="15" hidden="false" customHeight="false" outlineLevel="0" collapsed="false">
      <c r="A2" s="2" t="s">
        <v>81</v>
      </c>
    </row>
    <row r="4" customFormat="false" ht="15" hidden="false" customHeight="false" outlineLevel="0" collapsed="false">
      <c r="A4" s="3" t="s">
        <v>82</v>
      </c>
    </row>
    <row r="5" customFormat="false" ht="15" hidden="false" customHeight="false" outlineLevel="0" collapsed="false">
      <c r="A5" s="4" t="str">
        <f aca="false">"FY26 revenue was $"&amp;TEXT(Forecast!H12/1000,"0.0")&amp;"B (flat). Reported gross margin was "&amp;TEXT(Forecast!H14,"0.0%")&amp;", but "&amp;TEXT(Forecast!I14,"0.0%")&amp;" without the one-time $986M tariff recovery in Q4."</f>
        <v>FY26 revenue was $46.4B (flat). Reported gross margin was 42.9%, but 40.8% without the one-time $986M tariff recovery in Q4.</v>
      </c>
    </row>
    <row r="7" customFormat="false" ht="15" hidden="false" customHeight="false" outlineLevel="0" collapsed="false">
      <c r="A7" s="3" t="s">
        <v>83</v>
      </c>
    </row>
    <row r="8" customFormat="false" ht="15" hidden="false" customHeight="false" outlineLevel="0" collapsed="false">
      <c r="A8" s="4" t="str">
        <f aca="false">"Q1 FY27 revenue fell "&amp;TEXT(-'Guidance check'!B12,"0.0%")&amp;". To land in the guided range, Q2 to Q4 must fall "&amp;TEXT(-'Guidance check'!C11,"0.0%")&amp;" to "&amp;TEXT(-'Guidance check'!B11,"0.0%")&amp;". Nike is choosing this: cutting Jordan retro and Dunk supply and cleaning up China."</f>
        <v>Q1 FY27 revenue fell 4.3%. To land in the guided range, Q2 to Q4 must fall 7.9% to 10.6%. Nike is choosing this: cutting Jordan retro and Dunk supply and cleaning up China.</v>
      </c>
    </row>
    <row r="10" customFormat="false" ht="15" hidden="false" customHeight="false" outlineLevel="0" collapsed="false">
      <c r="A10" s="3" t="s">
        <v>84</v>
      </c>
    </row>
    <row r="11" customFormat="false" ht="15" hidden="false" customHeight="false" outlineLevel="0" collapsed="false">
      <c r="A11" s="4" t="str">
        <f aca="false">"Revenue of $"&amp;TEXT(Forecast!G12/1000,"0.0")&amp;"B ("&amp;TEXT(Forecast!G13,"0.0%")&amp;") and operating profit of $"&amp;TEXT(Forecast!G18/1000,"0.00")&amp;"B, "&amp;TEXT(-'Guidance check'!E15,"0%")&amp;" below FY26 excluding the tariff recovery."</f>
        <v>Revenue of $42.8B (-7.8%) and operating profit of $2.39B, 15% below FY26 excluding the tariff recovery.</v>
      </c>
    </row>
    <row r="13" customFormat="false" ht="15" hidden="false" customHeight="false" outlineLevel="0" collapsed="false">
      <c r="A13" s="3" t="s">
        <v>85</v>
      </c>
    </row>
    <row r="14" customFormat="false" ht="15" hidden="false" customHeight="false" outlineLevel="0" collapsed="false">
      <c r="A14" s="4" t="str">
        <f aca="false">"FY27 operating profit ranges from $"&amp;TEXT(Forecast!G54/1000,"0.00")&amp;"B (slower turnaround) to $"&amp;TEXT(Forecast!G36/1000,"0.00")&amp;"B (faster)."</f>
        <v>FY27 operating profit ranges from $1.25B (slower turnaround) to $3.27B (faster).</v>
      </c>
    </row>
    <row r="16" customFormat="false" ht="15" hidden="false" customHeight="false" outlineLevel="0" collapsed="false">
      <c r="A16" s="3" t="s">
        <v>86</v>
      </c>
    </row>
    <row r="17" customFormat="false" ht="15" hidden="false" customHeight="false" outlineLevel="0" collapsed="false">
      <c r="A17" s="4" t="str">
        <f aca="false">"Moving Q2 to Q4 gross margin by 1 point changes FY27 operating profit by about $"&amp;TEXT(Sensitivity!C4*0.01,"#,##0")&amp;"M. Moving Greater China growth by 10 points changes it by about $"&amp;TEXT(Sensitivity!C6*0.1*(Inputs!C13-Inputs!C14),"#,##0")&amp;"M."</f>
        <v>Moving Q2 to Q4 gross margin by 1 point changes FY27 operating profit by about $316M. Moving Greater China growth by 10 points changes it by about $133M.</v>
      </c>
    </row>
    <row r="19" customFormat="false" ht="15" hidden="false" customHeight="false" outlineLevel="0" collapsed="false">
      <c r="A19" s="3" t="s">
        <v>87</v>
      </c>
    </row>
    <row r="20" customFormat="false" ht="15" hidden="false" customHeight="false" outlineLevel="0" collapsed="false">
      <c r="A20" s="4" t="str">
        <f aca="false">Dashboard!A22&amp;". Margin and costs are improving; revenue, China and NIKE Direct are not yet."</f>
        <v>Signals improving since Q2 FY26: 2 of 7. Margin and costs are improving; revenue, China and NIKE Direct are not yet.</v>
      </c>
    </row>
    <row r="23" customFormat="false" ht="15" hidden="false" customHeight="false" outlineLevel="0" collapsed="false">
      <c r="A23" s="3" t="s">
        <v>88</v>
      </c>
    </row>
    <row r="24" customFormat="false" ht="15" hidden="false" customHeight="false" outlineLevel="0" collapsed="false">
      <c r="A24" s="4" t="s">
        <v>89</v>
      </c>
    </row>
    <row r="25" customFormat="false" ht="15" hidden="false" customHeight="false" outlineLevel="0" collapsed="false">
      <c r="A25" s="4" t="s">
        <v>90</v>
      </c>
    </row>
    <row r="26" customFormat="false" ht="15" hidden="false" customHeight="false" outlineLevel="0" collapsed="false">
      <c r="A26" s="4" t="s">
        <v>91</v>
      </c>
    </row>
    <row r="27" customFormat="false" ht="15" hidden="false" customHeight="false" outlineLevel="0" collapsed="false">
      <c r="A27" s="4" t="s">
        <v>92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6"/>
    <col collapsed="false" customWidth="true" hidden="false" outlineLevel="0" max="5" min="3" style="0" width="10"/>
    <col collapsed="false" customWidth="true" hidden="false" outlineLevel="0" max="6" min="6" style="0" width="14"/>
    <col collapsed="false" customWidth="true" hidden="false" outlineLevel="0" max="7" min="7" style="0" width="110"/>
  </cols>
  <sheetData>
    <row r="1" customFormat="false" ht="19.7" hidden="false" customHeight="false" outlineLevel="0" collapsed="false">
      <c r="A1" s="1" t="s">
        <v>93</v>
      </c>
    </row>
    <row r="2" customFormat="false" ht="15" hidden="false" customHeight="false" outlineLevel="0" collapsed="false">
      <c r="A2" s="2" t="s">
        <v>94</v>
      </c>
    </row>
    <row r="4" customFormat="false" ht="15" hidden="false" customHeight="false" outlineLevel="0" collapsed="false">
      <c r="A4" s="13" t="s">
        <v>95</v>
      </c>
      <c r="C4" s="16" t="n">
        <v>1</v>
      </c>
      <c r="D4" s="13" t="str">
        <f aca="false">CHOOSE($C$4,"Base","Faster turnaround","Slower turnaround")</f>
        <v>Base</v>
      </c>
    </row>
    <row r="7" customFormat="false" ht="15" hidden="false" customHeight="false" outlineLevel="0" collapsed="false">
      <c r="A7" s="5" t="s">
        <v>96</v>
      </c>
      <c r="B7" s="6" t="s">
        <v>97</v>
      </c>
      <c r="C7" s="6" t="s">
        <v>30</v>
      </c>
      <c r="D7" s="6" t="s">
        <v>31</v>
      </c>
      <c r="E7" s="6" t="s">
        <v>32</v>
      </c>
      <c r="F7" s="6" t="s">
        <v>98</v>
      </c>
      <c r="G7" s="6" t="s">
        <v>99</v>
      </c>
    </row>
    <row r="8" customFormat="false" ht="15" hidden="false" customHeight="false" outlineLevel="0" collapsed="false">
      <c r="A8" s="4" t="s">
        <v>49</v>
      </c>
      <c r="B8" s="2" t="s">
        <v>100</v>
      </c>
      <c r="C8" s="17" t="n">
        <v>-0.07</v>
      </c>
      <c r="D8" s="18" t="n">
        <v>-0.02</v>
      </c>
      <c r="E8" s="18" t="n">
        <v>-0.1</v>
      </c>
      <c r="F8" s="19" t="n">
        <f aca="false">Historicals!K14</f>
        <v>0.0213147410358565</v>
      </c>
      <c r="G8" s="2" t="s">
        <v>101</v>
      </c>
    </row>
    <row r="9" customFormat="false" ht="15" hidden="false" customHeight="false" outlineLevel="0" collapsed="false">
      <c r="A9" s="4" t="s">
        <v>102</v>
      </c>
      <c r="B9" s="2" t="s">
        <v>100</v>
      </c>
      <c r="C9" s="17" t="n">
        <v>-0.08</v>
      </c>
      <c r="D9" s="18" t="n">
        <v>-0.04</v>
      </c>
      <c r="E9" s="18" t="n">
        <v>-0.11</v>
      </c>
      <c r="F9" s="19" t="n">
        <f aca="false">Historicals!K15</f>
        <v>-0.0465325728009607</v>
      </c>
      <c r="G9" s="2" t="s">
        <v>103</v>
      </c>
    </row>
    <row r="10" customFormat="false" ht="15" hidden="false" customHeight="false" outlineLevel="0" collapsed="false">
      <c r="A10" s="4" t="s">
        <v>51</v>
      </c>
      <c r="B10" s="2" t="s">
        <v>100</v>
      </c>
      <c r="C10" s="17" t="n">
        <v>-0.2</v>
      </c>
      <c r="D10" s="18" t="n">
        <v>-0.12</v>
      </c>
      <c r="E10" s="18" t="n">
        <v>-0.28</v>
      </c>
      <c r="F10" s="19" t="n">
        <f aca="false">Historicals!K16</f>
        <v>-0.21957671957672</v>
      </c>
      <c r="G10" s="2" t="s">
        <v>104</v>
      </c>
    </row>
    <row r="11" customFormat="false" ht="15" hidden="false" customHeight="false" outlineLevel="0" collapsed="false">
      <c r="A11" s="4" t="s">
        <v>105</v>
      </c>
      <c r="B11" s="2" t="s">
        <v>100</v>
      </c>
      <c r="C11" s="17" t="n">
        <v>-0.05</v>
      </c>
      <c r="D11" s="18" t="n">
        <v>-0.02</v>
      </c>
      <c r="E11" s="18" t="n">
        <v>-0.08</v>
      </c>
      <c r="F11" s="19" t="n">
        <f aca="false">Historicals!K17</f>
        <v>-0.0181208053691275</v>
      </c>
      <c r="G11" s="2" t="s">
        <v>106</v>
      </c>
    </row>
    <row r="12" customFormat="false" ht="15" hidden="false" customHeight="false" outlineLevel="0" collapsed="false">
      <c r="A12" s="4" t="s">
        <v>107</v>
      </c>
      <c r="B12" s="2" t="s">
        <v>100</v>
      </c>
      <c r="C12" s="17" t="n">
        <v>-0.2</v>
      </c>
      <c r="D12" s="18" t="n">
        <v>-0.12</v>
      </c>
      <c r="E12" s="18" t="n">
        <v>-0.28</v>
      </c>
      <c r="F12" s="19" t="n">
        <f aca="false">Historicals!K18</f>
        <v>-0.281420765027322</v>
      </c>
      <c r="G12" s="2" t="s">
        <v>108</v>
      </c>
    </row>
    <row r="13" customFormat="false" ht="15" hidden="false" customHeight="false" outlineLevel="0" collapsed="false">
      <c r="A13" s="4" t="s">
        <v>109</v>
      </c>
      <c r="B13" s="2" t="s">
        <v>100</v>
      </c>
      <c r="C13" s="17" t="n">
        <v>0.415</v>
      </c>
      <c r="D13" s="18" t="n">
        <v>0.42</v>
      </c>
      <c r="E13" s="18" t="n">
        <v>0.4</v>
      </c>
      <c r="F13" s="19" t="n">
        <f aca="false">Historicals!K26</f>
        <v>0.427896191920093</v>
      </c>
      <c r="G13" s="2" t="s">
        <v>110</v>
      </c>
    </row>
    <row r="14" customFormat="false" ht="15" hidden="false" customHeight="false" outlineLevel="0" collapsed="false">
      <c r="A14" s="4" t="s">
        <v>111</v>
      </c>
      <c r="B14" s="2" t="s">
        <v>100</v>
      </c>
      <c r="C14" s="17" t="n">
        <v>0.108</v>
      </c>
      <c r="D14" s="18" t="n">
        <v>0.105</v>
      </c>
      <c r="E14" s="18" t="n">
        <v>0.112</v>
      </c>
      <c r="F14" s="19" t="n">
        <f aca="false">Historicals!K30</f>
        <v>0.111656113439757</v>
      </c>
      <c r="G14" s="2" t="s">
        <v>112</v>
      </c>
    </row>
    <row r="15" customFormat="false" ht="15" hidden="false" customHeight="false" outlineLevel="0" collapsed="false">
      <c r="A15" s="4" t="s">
        <v>59</v>
      </c>
      <c r="B15" s="2" t="s">
        <v>100</v>
      </c>
      <c r="C15" s="17" t="n">
        <v>-0.04</v>
      </c>
      <c r="D15" s="18" t="n">
        <v>-0.05</v>
      </c>
      <c r="E15" s="18" t="n">
        <v>-0.02</v>
      </c>
      <c r="F15" s="19" t="n">
        <f aca="false">Historicals!K32</f>
        <v>-0.0601131541725601</v>
      </c>
      <c r="G15" s="2" t="s">
        <v>113</v>
      </c>
    </row>
    <row r="17" customFormat="false" ht="15" hidden="false" customHeight="false" outlineLevel="0" collapsed="false">
      <c r="A17" s="3" t="s">
        <v>114</v>
      </c>
    </row>
    <row r="18" customFormat="false" ht="15" hidden="false" customHeight="false" outlineLevel="0" collapsed="false">
      <c r="A18" s="5" t="s">
        <v>115</v>
      </c>
      <c r="B18" s="6" t="s">
        <v>97</v>
      </c>
      <c r="C18" s="6" t="s">
        <v>116</v>
      </c>
      <c r="D18" s="6" t="s">
        <v>117</v>
      </c>
      <c r="E18" s="6"/>
      <c r="F18" s="6"/>
      <c r="G18" s="6" t="s">
        <v>118</v>
      </c>
    </row>
    <row r="19" customFormat="false" ht="15" hidden="false" customHeight="false" outlineLevel="0" collapsed="false">
      <c r="A19" s="4" t="s">
        <v>119</v>
      </c>
      <c r="B19" s="2" t="s">
        <v>100</v>
      </c>
      <c r="C19" s="20" t="n">
        <v>-0.09</v>
      </c>
      <c r="D19" s="20" t="n">
        <v>-0.07</v>
      </c>
      <c r="G19" s="2" t="s">
        <v>120</v>
      </c>
    </row>
    <row r="20" customFormat="false" ht="15" hidden="false" customHeight="false" outlineLevel="0" collapsed="false">
      <c r="A20" s="4" t="s">
        <v>121</v>
      </c>
      <c r="B20" s="2" t="s">
        <v>122</v>
      </c>
      <c r="C20" s="21" t="n">
        <v>1.15</v>
      </c>
      <c r="D20" s="21" t="n">
        <v>1.35</v>
      </c>
      <c r="G20" s="2" t="s">
        <v>123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7"/>
    <col collapsed="false" customWidth="true" hidden="false" outlineLevel="0" max="11" min="3" style="0" width="11"/>
  </cols>
  <sheetData>
    <row r="1" customFormat="false" ht="19.7" hidden="false" customHeight="false" outlineLevel="0" collapsed="false">
      <c r="A1" s="1" t="s">
        <v>124</v>
      </c>
    </row>
    <row r="2" customFormat="false" ht="15" hidden="false" customHeight="false" outlineLevel="0" collapsed="false">
      <c r="A2" s="2" t="s">
        <v>125</v>
      </c>
    </row>
    <row r="3" customFormat="false" ht="15" hidden="false" customHeight="false" outlineLevel="0" collapsed="false">
      <c r="A3" s="5" t="s">
        <v>126</v>
      </c>
      <c r="B3" s="6" t="s">
        <v>97</v>
      </c>
      <c r="C3" s="6" t="s">
        <v>64</v>
      </c>
      <c r="D3" s="6" t="s">
        <v>65</v>
      </c>
      <c r="E3" s="6" t="s">
        <v>66</v>
      </c>
      <c r="F3" s="6" t="s">
        <v>67</v>
      </c>
      <c r="G3" s="6" t="s">
        <v>68</v>
      </c>
      <c r="H3" s="6" t="s">
        <v>41</v>
      </c>
      <c r="I3" s="6" t="s">
        <v>42</v>
      </c>
      <c r="J3" s="6" t="s">
        <v>43</v>
      </c>
      <c r="K3" s="6" t="s">
        <v>44</v>
      </c>
    </row>
    <row r="4" customFormat="false" ht="15" hidden="false" customHeight="false" outlineLevel="0" collapsed="false">
      <c r="A4" s="3" t="s">
        <v>127</v>
      </c>
    </row>
    <row r="5" customFormat="false" ht="15" hidden="false" customHeight="false" outlineLevel="0" collapsed="false">
      <c r="A5" s="4" t="s">
        <v>75</v>
      </c>
      <c r="B5" s="2" t="s">
        <v>128</v>
      </c>
      <c r="C5" s="22" t="s">
        <v>129</v>
      </c>
      <c r="D5" s="23" t="n">
        <v>5179</v>
      </c>
      <c r="E5" s="22" t="s">
        <v>129</v>
      </c>
      <c r="F5" s="23" t="n">
        <v>4703</v>
      </c>
      <c r="G5" s="23" t="n">
        <v>5020</v>
      </c>
      <c r="H5" s="23" t="n">
        <v>5633</v>
      </c>
      <c r="I5" s="23" t="n">
        <v>5026</v>
      </c>
      <c r="J5" s="23" t="n">
        <v>4832</v>
      </c>
      <c r="K5" s="23" t="n">
        <v>5127</v>
      </c>
    </row>
    <row r="6" customFormat="false" ht="15" hidden="false" customHeight="false" outlineLevel="0" collapsed="false">
      <c r="A6" s="4" t="s">
        <v>76</v>
      </c>
      <c r="B6" s="2" t="s">
        <v>128</v>
      </c>
      <c r="C6" s="22" t="s">
        <v>129</v>
      </c>
      <c r="D6" s="23" t="n">
        <v>3303</v>
      </c>
      <c r="E6" s="22" t="s">
        <v>129</v>
      </c>
      <c r="F6" s="23" t="n">
        <v>3000</v>
      </c>
      <c r="G6" s="23" t="n">
        <v>3331</v>
      </c>
      <c r="H6" s="23" t="n">
        <v>3392</v>
      </c>
      <c r="I6" s="23" t="n">
        <v>2874</v>
      </c>
      <c r="J6" s="23" t="n">
        <v>2975</v>
      </c>
      <c r="K6" s="23" t="n">
        <v>3176</v>
      </c>
    </row>
    <row r="7" customFormat="false" ht="15" hidden="false" customHeight="false" outlineLevel="0" collapsed="false">
      <c r="A7" s="4" t="s">
        <v>77</v>
      </c>
      <c r="B7" s="2" t="s">
        <v>128</v>
      </c>
      <c r="C7" s="22" t="s">
        <v>129</v>
      </c>
      <c r="D7" s="23" t="n">
        <v>1711</v>
      </c>
      <c r="E7" s="22" t="s">
        <v>129</v>
      </c>
      <c r="F7" s="23" t="n">
        <v>1476</v>
      </c>
      <c r="G7" s="23" t="n">
        <v>1512</v>
      </c>
      <c r="H7" s="23" t="n">
        <v>1423</v>
      </c>
      <c r="I7" s="23" t="n">
        <v>1615</v>
      </c>
      <c r="J7" s="23" t="n">
        <v>1297</v>
      </c>
      <c r="K7" s="23" t="n">
        <v>1180</v>
      </c>
    </row>
    <row r="8" customFormat="false" ht="15" hidden="false" customHeight="false" outlineLevel="0" collapsed="false">
      <c r="A8" s="4" t="s">
        <v>78</v>
      </c>
      <c r="B8" s="2" t="s">
        <v>128</v>
      </c>
      <c r="C8" s="22" t="s">
        <v>129</v>
      </c>
      <c r="D8" s="23" t="n">
        <v>1744</v>
      </c>
      <c r="E8" s="22" t="s">
        <v>129</v>
      </c>
      <c r="F8" s="23" t="n">
        <v>1575</v>
      </c>
      <c r="G8" s="23" t="n">
        <v>1490</v>
      </c>
      <c r="H8" s="23" t="n">
        <v>1667</v>
      </c>
      <c r="I8" s="23" t="n">
        <v>1490</v>
      </c>
      <c r="J8" s="23" t="n">
        <v>1596</v>
      </c>
      <c r="K8" s="23" t="n">
        <v>1463</v>
      </c>
    </row>
    <row r="9" customFormat="false" ht="15" hidden="false" customHeight="false" outlineLevel="0" collapsed="false">
      <c r="A9" s="4" t="s">
        <v>79</v>
      </c>
      <c r="B9" s="2" t="s">
        <v>128</v>
      </c>
      <c r="C9" s="22" t="s">
        <v>129</v>
      </c>
      <c r="D9" s="23" t="n">
        <v>429</v>
      </c>
      <c r="E9" s="22" t="s">
        <v>129</v>
      </c>
      <c r="F9" s="23" t="n">
        <v>357</v>
      </c>
      <c r="G9" s="23" t="n">
        <v>366</v>
      </c>
      <c r="H9" s="23" t="n">
        <v>300</v>
      </c>
      <c r="I9" s="23" t="n">
        <v>264</v>
      </c>
      <c r="J9" s="23" t="n">
        <v>244</v>
      </c>
      <c r="K9" s="23" t="n">
        <v>263</v>
      </c>
    </row>
    <row r="10" customFormat="false" ht="15" hidden="false" customHeight="false" outlineLevel="0" collapsed="false">
      <c r="A10" s="4" t="s">
        <v>130</v>
      </c>
      <c r="B10" s="2" t="s">
        <v>128</v>
      </c>
      <c r="C10" s="22" t="s">
        <v>129</v>
      </c>
      <c r="D10" s="15" t="n">
        <f aca="false">D11-SUM(D5:D9)</f>
        <v>-12</v>
      </c>
      <c r="E10" s="22" t="s">
        <v>129</v>
      </c>
      <c r="F10" s="15" t="n">
        <f aca="false">F11-SUM(F5:F9)</f>
        <v>-14</v>
      </c>
      <c r="G10" s="15" t="n">
        <f aca="false">G11-SUM(G5:G9)</f>
        <v>1</v>
      </c>
      <c r="H10" s="15" t="n">
        <f aca="false">H11-SUM(H5:H9)</f>
        <v>12</v>
      </c>
      <c r="I10" s="15" t="n">
        <f aca="false">I11-SUM(I5:I9)</f>
        <v>10</v>
      </c>
      <c r="J10" s="15" t="n">
        <f aca="false">J11-SUM(J5:J9)</f>
        <v>28</v>
      </c>
      <c r="K10" s="15" t="n">
        <f aca="false">K11-SUM(K5:K9)</f>
        <v>4</v>
      </c>
    </row>
    <row r="11" customFormat="false" ht="15" hidden="false" customHeight="false" outlineLevel="0" collapsed="false">
      <c r="A11" s="4" t="s">
        <v>131</v>
      </c>
      <c r="B11" s="2" t="s">
        <v>128</v>
      </c>
      <c r="C11" s="23" t="n">
        <v>11589</v>
      </c>
      <c r="D11" s="23" t="n">
        <v>12354</v>
      </c>
      <c r="E11" s="23" t="n">
        <v>11269</v>
      </c>
      <c r="F11" s="23" t="n">
        <v>11097</v>
      </c>
      <c r="G11" s="23" t="n">
        <v>11720</v>
      </c>
      <c r="H11" s="23" t="n">
        <v>12427</v>
      </c>
      <c r="I11" s="23" t="n">
        <v>11279</v>
      </c>
      <c r="J11" s="23" t="n">
        <v>10972</v>
      </c>
      <c r="K11" s="23" t="n">
        <v>11213</v>
      </c>
    </row>
    <row r="12" customFormat="false" ht="15" hidden="false" customHeight="false" outlineLevel="0" collapsed="false">
      <c r="A12" s="3" t="s">
        <v>132</v>
      </c>
    </row>
    <row r="13" customFormat="false" ht="15" hidden="false" customHeight="false" outlineLevel="0" collapsed="false">
      <c r="A13" s="4" t="s">
        <v>47</v>
      </c>
      <c r="B13" s="2" t="s">
        <v>100</v>
      </c>
      <c r="C13" s="22" t="s">
        <v>129</v>
      </c>
      <c r="D13" s="22" t="s">
        <v>129</v>
      </c>
      <c r="E13" s="22" t="s">
        <v>129</v>
      </c>
      <c r="F13" s="22" t="s">
        <v>129</v>
      </c>
      <c r="G13" s="24" t="n">
        <f aca="false">G11/C11-1</f>
        <v>0.0113038225903874</v>
      </c>
      <c r="H13" s="24" t="n">
        <f aca="false">H11/D11-1</f>
        <v>0.00590901732232485</v>
      </c>
      <c r="I13" s="24" t="n">
        <f aca="false">I11/E11-1</f>
        <v>0.000887390185464465</v>
      </c>
      <c r="J13" s="24" t="n">
        <f aca="false">J11/F11-1</f>
        <v>-0.0112643056681986</v>
      </c>
      <c r="K13" s="24" t="n">
        <f aca="false">K11/G11-1</f>
        <v>-0.043259385665529</v>
      </c>
    </row>
    <row r="14" customFormat="false" ht="15" hidden="false" customHeight="false" outlineLevel="0" collapsed="false">
      <c r="A14" s="4" t="s">
        <v>49</v>
      </c>
      <c r="B14" s="2" t="s">
        <v>100</v>
      </c>
      <c r="C14" s="22" t="s">
        <v>129</v>
      </c>
      <c r="D14" s="22" t="s">
        <v>129</v>
      </c>
      <c r="E14" s="22" t="s">
        <v>129</v>
      </c>
      <c r="F14" s="22" t="s">
        <v>129</v>
      </c>
      <c r="G14" s="22" t="s">
        <v>129</v>
      </c>
      <c r="H14" s="24" t="n">
        <f aca="false">H5/D5-1</f>
        <v>0.087661710754972</v>
      </c>
      <c r="I14" s="22" t="s">
        <v>129</v>
      </c>
      <c r="J14" s="24" t="n">
        <f aca="false">J5/F5-1</f>
        <v>0.0274293004465236</v>
      </c>
      <c r="K14" s="24" t="n">
        <f aca="false">K5/G5-1</f>
        <v>0.0213147410358565</v>
      </c>
    </row>
    <row r="15" customFormat="false" ht="15" hidden="false" customHeight="false" outlineLevel="0" collapsed="false">
      <c r="A15" s="4" t="s">
        <v>102</v>
      </c>
      <c r="B15" s="2" t="s">
        <v>100</v>
      </c>
      <c r="C15" s="22" t="s">
        <v>129</v>
      </c>
      <c r="D15" s="22" t="s">
        <v>129</v>
      </c>
      <c r="E15" s="22" t="s">
        <v>129</v>
      </c>
      <c r="F15" s="22" t="s">
        <v>129</v>
      </c>
      <c r="G15" s="22" t="s">
        <v>129</v>
      </c>
      <c r="H15" s="24" t="n">
        <f aca="false">H6/D6-1</f>
        <v>0.0269452013321223</v>
      </c>
      <c r="I15" s="22" t="s">
        <v>129</v>
      </c>
      <c r="J15" s="24" t="n">
        <f aca="false">J6/F6-1</f>
        <v>-0.0083333333333333</v>
      </c>
      <c r="K15" s="24" t="n">
        <f aca="false">K6/G6-1</f>
        <v>-0.0465325728009607</v>
      </c>
    </row>
    <row r="16" customFormat="false" ht="15" hidden="false" customHeight="false" outlineLevel="0" collapsed="false">
      <c r="A16" s="4" t="s">
        <v>51</v>
      </c>
      <c r="B16" s="2" t="s">
        <v>100</v>
      </c>
      <c r="C16" s="22" t="s">
        <v>129</v>
      </c>
      <c r="D16" s="22" t="s">
        <v>129</v>
      </c>
      <c r="E16" s="22" t="s">
        <v>129</v>
      </c>
      <c r="F16" s="22" t="s">
        <v>129</v>
      </c>
      <c r="G16" s="22" t="s">
        <v>129</v>
      </c>
      <c r="H16" s="24" t="n">
        <f aca="false">H7/D7-1</f>
        <v>-0.168322618351841</v>
      </c>
      <c r="I16" s="22" t="s">
        <v>129</v>
      </c>
      <c r="J16" s="24" t="n">
        <f aca="false">J7/F7-1</f>
        <v>-0.121273712737127</v>
      </c>
      <c r="K16" s="24" t="n">
        <f aca="false">K7/G7-1</f>
        <v>-0.21957671957672</v>
      </c>
    </row>
    <row r="17" customFormat="false" ht="15" hidden="false" customHeight="false" outlineLevel="0" collapsed="false">
      <c r="A17" s="4" t="s">
        <v>105</v>
      </c>
      <c r="B17" s="2" t="s">
        <v>100</v>
      </c>
      <c r="C17" s="22" t="s">
        <v>129</v>
      </c>
      <c r="D17" s="22" t="s">
        <v>129</v>
      </c>
      <c r="E17" s="22" t="s">
        <v>129</v>
      </c>
      <c r="F17" s="22" t="s">
        <v>129</v>
      </c>
      <c r="G17" s="22" t="s">
        <v>129</v>
      </c>
      <c r="H17" s="24" t="n">
        <f aca="false">H8/D8-1</f>
        <v>-0.044151376146789</v>
      </c>
      <c r="I17" s="22" t="s">
        <v>129</v>
      </c>
      <c r="J17" s="24" t="n">
        <f aca="false">J8/F8-1</f>
        <v>0.0133333333333334</v>
      </c>
      <c r="K17" s="24" t="n">
        <f aca="false">K8/G8-1</f>
        <v>-0.0181208053691275</v>
      </c>
    </row>
    <row r="18" customFormat="false" ht="15" hidden="false" customHeight="false" outlineLevel="0" collapsed="false">
      <c r="A18" s="4" t="s">
        <v>107</v>
      </c>
      <c r="B18" s="2" t="s">
        <v>100</v>
      </c>
      <c r="C18" s="22" t="s">
        <v>129</v>
      </c>
      <c r="D18" s="22" t="s">
        <v>129</v>
      </c>
      <c r="E18" s="22" t="s">
        <v>129</v>
      </c>
      <c r="F18" s="22" t="s">
        <v>129</v>
      </c>
      <c r="G18" s="22" t="s">
        <v>129</v>
      </c>
      <c r="H18" s="24" t="n">
        <f aca="false">H9/D9-1</f>
        <v>-0.300699300699301</v>
      </c>
      <c r="I18" s="22" t="s">
        <v>129</v>
      </c>
      <c r="J18" s="24" t="n">
        <f aca="false">J9/F9-1</f>
        <v>-0.316526610644258</v>
      </c>
      <c r="K18" s="24" t="n">
        <f aca="false">K9/G9-1</f>
        <v>-0.281420765027322</v>
      </c>
    </row>
    <row r="19" customFormat="false" ht="15" hidden="false" customHeight="false" outlineLevel="0" collapsed="false">
      <c r="A19" s="3" t="s">
        <v>133</v>
      </c>
    </row>
    <row r="20" customFormat="false" ht="15" hidden="false" customHeight="false" outlineLevel="0" collapsed="false">
      <c r="A20" s="4" t="s">
        <v>53</v>
      </c>
      <c r="B20" s="2" t="s">
        <v>100</v>
      </c>
      <c r="C20" s="22" t="s">
        <v>129</v>
      </c>
      <c r="D20" s="22" t="s">
        <v>129</v>
      </c>
      <c r="E20" s="22" t="s">
        <v>129</v>
      </c>
      <c r="F20" s="22" t="s">
        <v>129</v>
      </c>
      <c r="G20" s="22" t="s">
        <v>129</v>
      </c>
      <c r="H20" s="20" t="n">
        <v>-0.08</v>
      </c>
      <c r="I20" s="20" t="n">
        <v>-0.04</v>
      </c>
      <c r="J20" s="20" t="n">
        <v>-0.07</v>
      </c>
      <c r="K20" s="20" t="n">
        <v>-0.08</v>
      </c>
    </row>
    <row r="21" customFormat="false" ht="15" hidden="false" customHeight="false" outlineLevel="0" collapsed="false">
      <c r="A21" s="4" t="s">
        <v>55</v>
      </c>
      <c r="B21" s="2" t="s">
        <v>100</v>
      </c>
      <c r="C21" s="22" t="s">
        <v>129</v>
      </c>
      <c r="D21" s="22" t="s">
        <v>129</v>
      </c>
      <c r="E21" s="22" t="s">
        <v>129</v>
      </c>
      <c r="F21" s="22" t="s">
        <v>129</v>
      </c>
      <c r="G21" s="22" t="s">
        <v>129</v>
      </c>
      <c r="H21" s="20" t="n">
        <v>0.08</v>
      </c>
      <c r="I21" s="20" t="n">
        <v>0.05</v>
      </c>
      <c r="J21" s="20" t="n">
        <v>0.04</v>
      </c>
      <c r="K21" s="20" t="n">
        <v>-0.01</v>
      </c>
    </row>
    <row r="22" customFormat="false" ht="15" hidden="false" customHeight="false" outlineLevel="0" collapsed="false">
      <c r="A22" s="3" t="s">
        <v>134</v>
      </c>
    </row>
    <row r="23" customFormat="false" ht="15" hidden="false" customHeight="false" outlineLevel="0" collapsed="false">
      <c r="A23" s="4" t="s">
        <v>135</v>
      </c>
      <c r="B23" s="2" t="s">
        <v>128</v>
      </c>
      <c r="C23" s="23" t="n">
        <v>5257</v>
      </c>
      <c r="D23" s="23" t="n">
        <v>5389</v>
      </c>
      <c r="E23" s="23" t="n">
        <v>4675</v>
      </c>
      <c r="F23" s="23" t="n">
        <v>4469</v>
      </c>
      <c r="G23" s="23" t="n">
        <v>4943</v>
      </c>
      <c r="H23" s="23" t="n">
        <v>5045</v>
      </c>
      <c r="I23" s="23" t="n">
        <v>4530</v>
      </c>
      <c r="J23" s="23" t="n">
        <v>5393</v>
      </c>
      <c r="K23" s="23" t="n">
        <v>4798</v>
      </c>
    </row>
    <row r="24" customFormat="false" ht="15" hidden="false" customHeight="false" outlineLevel="0" collapsed="false">
      <c r="A24" s="4" t="s">
        <v>136</v>
      </c>
      <c r="B24" s="2" t="s">
        <v>128</v>
      </c>
      <c r="C24" s="23" t="n">
        <v>0</v>
      </c>
      <c r="D24" s="23" t="n">
        <v>0</v>
      </c>
      <c r="E24" s="23" t="n">
        <v>0</v>
      </c>
      <c r="F24" s="23" t="n">
        <v>0</v>
      </c>
      <c r="G24" s="23" t="n">
        <v>0</v>
      </c>
      <c r="H24" s="23" t="n">
        <v>0</v>
      </c>
      <c r="I24" s="23" t="n">
        <v>0</v>
      </c>
      <c r="J24" s="23" t="n">
        <v>986</v>
      </c>
      <c r="K24" s="23" t="n">
        <v>0</v>
      </c>
    </row>
    <row r="25" customFormat="false" ht="15" hidden="false" customHeight="false" outlineLevel="0" collapsed="false">
      <c r="A25" s="4" t="s">
        <v>137</v>
      </c>
      <c r="B25" s="2" t="s">
        <v>128</v>
      </c>
      <c r="C25" s="15" t="n">
        <f aca="false">C23-C24</f>
        <v>5257</v>
      </c>
      <c r="D25" s="15" t="n">
        <f aca="false">D23-D24</f>
        <v>5389</v>
      </c>
      <c r="E25" s="15" t="n">
        <f aca="false">E23-E24</f>
        <v>4675</v>
      </c>
      <c r="F25" s="15" t="n">
        <f aca="false">F23-F24</f>
        <v>4469</v>
      </c>
      <c r="G25" s="15" t="n">
        <f aca="false">G23-G24</f>
        <v>4943</v>
      </c>
      <c r="H25" s="15" t="n">
        <f aca="false">H23-H24</f>
        <v>5045</v>
      </c>
      <c r="I25" s="15" t="n">
        <f aca="false">I23-I24</f>
        <v>4530</v>
      </c>
      <c r="J25" s="15" t="n">
        <f aca="false">J23-J24</f>
        <v>4407</v>
      </c>
      <c r="K25" s="15" t="n">
        <f aca="false">K23-K24</f>
        <v>4798</v>
      </c>
    </row>
    <row r="26" customFormat="false" ht="15" hidden="false" customHeight="false" outlineLevel="0" collapsed="false">
      <c r="A26" s="4" t="s">
        <v>138</v>
      </c>
      <c r="B26" s="2" t="s">
        <v>100</v>
      </c>
      <c r="C26" s="24" t="n">
        <f aca="false">C23/C11</f>
        <v>0.453619811890586</v>
      </c>
      <c r="D26" s="24" t="n">
        <f aca="false">D23/D11</f>
        <v>0.436214991096001</v>
      </c>
      <c r="E26" s="24" t="n">
        <f aca="false">E23/E11</f>
        <v>0.414854911704677</v>
      </c>
      <c r="F26" s="24" t="n">
        <f aca="false">F23/F11</f>
        <v>0.402721456249437</v>
      </c>
      <c r="G26" s="24" t="n">
        <f aca="false">G23/G11</f>
        <v>0.421757679180887</v>
      </c>
      <c r="H26" s="24" t="n">
        <f aca="false">H23/H11</f>
        <v>0.4059708698801</v>
      </c>
      <c r="I26" s="24" t="n">
        <f aca="false">I23/I11</f>
        <v>0.401631350297012</v>
      </c>
      <c r="J26" s="24" t="n">
        <f aca="false">J23/J11</f>
        <v>0.491523878964637</v>
      </c>
      <c r="K26" s="24" t="n">
        <f aca="false">K23/K11</f>
        <v>0.427896191920093</v>
      </c>
    </row>
    <row r="27" customFormat="false" ht="15" hidden="false" customHeight="false" outlineLevel="0" collapsed="false">
      <c r="A27" s="4" t="s">
        <v>139</v>
      </c>
      <c r="B27" s="2" t="s">
        <v>100</v>
      </c>
      <c r="C27" s="24" t="n">
        <f aca="false">C25/C11</f>
        <v>0.453619811890586</v>
      </c>
      <c r="D27" s="24" t="n">
        <f aca="false">D25/D11</f>
        <v>0.436214991096001</v>
      </c>
      <c r="E27" s="24" t="n">
        <f aca="false">E25/E11</f>
        <v>0.414854911704677</v>
      </c>
      <c r="F27" s="24" t="n">
        <f aca="false">F25/F11</f>
        <v>0.402721456249437</v>
      </c>
      <c r="G27" s="24" t="n">
        <f aca="false">G25/G11</f>
        <v>0.421757679180887</v>
      </c>
      <c r="H27" s="24" t="n">
        <f aca="false">H25/H11</f>
        <v>0.4059708698801</v>
      </c>
      <c r="I27" s="24" t="n">
        <f aca="false">I25/I11</f>
        <v>0.401631350297012</v>
      </c>
      <c r="J27" s="24" t="n">
        <f aca="false">J25/J11</f>
        <v>0.401658767772512</v>
      </c>
      <c r="K27" s="24" t="n">
        <f aca="false">K25/K11</f>
        <v>0.427896191920093</v>
      </c>
    </row>
    <row r="28" customFormat="false" ht="15" hidden="false" customHeight="false" outlineLevel="0" collapsed="false">
      <c r="A28" s="4" t="s">
        <v>57</v>
      </c>
      <c r="B28" s="2" t="s">
        <v>140</v>
      </c>
      <c r="C28" s="22" t="s">
        <v>129</v>
      </c>
      <c r="D28" s="22" t="s">
        <v>129</v>
      </c>
      <c r="E28" s="22" t="s">
        <v>129</v>
      </c>
      <c r="F28" s="22" t="s">
        <v>129</v>
      </c>
      <c r="G28" s="25" t="n">
        <f aca="false">(G27-C27)*10000</f>
        <v>-318.621327096986</v>
      </c>
      <c r="H28" s="25" t="n">
        <f aca="false">(H27-D27)*10000</f>
        <v>-302.441212159015</v>
      </c>
      <c r="I28" s="25" t="n">
        <f aca="false">(I27-E27)*10000</f>
        <v>-132.235614076644</v>
      </c>
      <c r="J28" s="25" t="n">
        <f aca="false">(J27-F27)*10000</f>
        <v>-10.6268847692492</v>
      </c>
      <c r="K28" s="25" t="n">
        <f aca="false">(K27-G27)*10000</f>
        <v>61.385127392054</v>
      </c>
    </row>
    <row r="29" customFormat="false" ht="15" hidden="false" customHeight="false" outlineLevel="0" collapsed="false">
      <c r="A29" s="4" t="s">
        <v>141</v>
      </c>
      <c r="B29" s="2" t="s">
        <v>128</v>
      </c>
      <c r="C29" s="23" t="n">
        <v>1226</v>
      </c>
      <c r="D29" s="23" t="n">
        <v>1122</v>
      </c>
      <c r="E29" s="23" t="n">
        <v>1088</v>
      </c>
      <c r="F29" s="23" t="n">
        <v>1253</v>
      </c>
      <c r="G29" s="23" t="n">
        <v>1188</v>
      </c>
      <c r="H29" s="23" t="n">
        <v>1273</v>
      </c>
      <c r="I29" s="23" t="n">
        <v>1090</v>
      </c>
      <c r="J29" s="23" t="n">
        <v>1203</v>
      </c>
      <c r="K29" s="23" t="n">
        <v>1252</v>
      </c>
    </row>
    <row r="30" customFormat="false" ht="15" hidden="false" customHeight="false" outlineLevel="0" collapsed="false">
      <c r="A30" s="4" t="s">
        <v>111</v>
      </c>
      <c r="B30" s="2" t="s">
        <v>100</v>
      </c>
      <c r="C30" s="24" t="n">
        <f aca="false">C29/C11</f>
        <v>0.105789973250496</v>
      </c>
      <c r="D30" s="24" t="n">
        <f aca="false">D29/D11</f>
        <v>0.0908207867897037</v>
      </c>
      <c r="E30" s="24" t="n">
        <f aca="false">E29/E11</f>
        <v>0.0965480521785429</v>
      </c>
      <c r="F30" s="24" t="n">
        <f aca="false">F29/F11</f>
        <v>0.112913400018023</v>
      </c>
      <c r="G30" s="24" t="n">
        <f aca="false">G29/G11</f>
        <v>0.101365187713311</v>
      </c>
      <c r="H30" s="24" t="n">
        <f aca="false">H29/H11</f>
        <v>0.102438239317615</v>
      </c>
      <c r="I30" s="24" t="n">
        <f aca="false">I29/I11</f>
        <v>0.0966397730295239</v>
      </c>
      <c r="J30" s="24" t="n">
        <f aca="false">J29/J11</f>
        <v>0.109642726941305</v>
      </c>
      <c r="K30" s="24" t="n">
        <f aca="false">K29/K11</f>
        <v>0.111656113439757</v>
      </c>
    </row>
    <row r="31" customFormat="false" ht="15" hidden="false" customHeight="false" outlineLevel="0" collapsed="false">
      <c r="A31" s="4" t="s">
        <v>142</v>
      </c>
      <c r="B31" s="2" t="s">
        <v>128</v>
      </c>
      <c r="C31" s="23" t="n">
        <v>2822</v>
      </c>
      <c r="D31" s="23" t="n">
        <v>2883</v>
      </c>
      <c r="E31" s="23" t="n">
        <v>2799</v>
      </c>
      <c r="F31" s="23" t="n">
        <v>2895</v>
      </c>
      <c r="G31" s="23" t="n">
        <v>2828</v>
      </c>
      <c r="H31" s="23" t="n">
        <v>2766</v>
      </c>
      <c r="I31" s="23" t="n">
        <v>2887</v>
      </c>
      <c r="J31" s="23" t="n">
        <v>2879</v>
      </c>
      <c r="K31" s="23" t="n">
        <v>2658</v>
      </c>
    </row>
    <row r="32" customFormat="false" ht="15" hidden="false" customHeight="false" outlineLevel="0" collapsed="false">
      <c r="A32" s="4" t="s">
        <v>59</v>
      </c>
      <c r="B32" s="2" t="s">
        <v>100</v>
      </c>
      <c r="C32" s="22" t="s">
        <v>129</v>
      </c>
      <c r="D32" s="22" t="s">
        <v>129</v>
      </c>
      <c r="E32" s="22" t="s">
        <v>129</v>
      </c>
      <c r="F32" s="22" t="s">
        <v>129</v>
      </c>
      <c r="G32" s="24" t="n">
        <f aca="false">G31/C31-1</f>
        <v>0.00212615166548558</v>
      </c>
      <c r="H32" s="24" t="n">
        <f aca="false">H31/D31-1</f>
        <v>-0.040582726326743</v>
      </c>
      <c r="I32" s="24" t="n">
        <f aca="false">I31/E31-1</f>
        <v>0.0314397999285458</v>
      </c>
      <c r="J32" s="24" t="n">
        <f aca="false">J31/F31-1</f>
        <v>-0.00552677029360971</v>
      </c>
      <c r="K32" s="24" t="n">
        <f aca="false">K31/G31-1</f>
        <v>-0.0601131541725601</v>
      </c>
    </row>
    <row r="33" customFormat="false" ht="15" hidden="false" customHeight="false" outlineLevel="0" collapsed="false">
      <c r="A33" s="4" t="s">
        <v>143</v>
      </c>
      <c r="B33" s="2" t="s">
        <v>128</v>
      </c>
      <c r="C33" s="15" t="n">
        <f aca="false">C23-C29-C31</f>
        <v>1209</v>
      </c>
      <c r="D33" s="15" t="n">
        <f aca="false">D23-D29-D31</f>
        <v>1384</v>
      </c>
      <c r="E33" s="15" t="n">
        <f aca="false">E23-E29-E31</f>
        <v>788</v>
      </c>
      <c r="F33" s="15" t="n">
        <f aca="false">F23-F29-F31</f>
        <v>321</v>
      </c>
      <c r="G33" s="15" t="n">
        <f aca="false">G23-G29-G31</f>
        <v>927</v>
      </c>
      <c r="H33" s="15" t="n">
        <f aca="false">H23-H29-H31</f>
        <v>1006</v>
      </c>
      <c r="I33" s="15" t="n">
        <f aca="false">I23-I29-I31</f>
        <v>553</v>
      </c>
      <c r="J33" s="15" t="n">
        <f aca="false">J23-J29-J31</f>
        <v>1311</v>
      </c>
      <c r="K33" s="15" t="n">
        <f aca="false">K23-K29-K31</f>
        <v>888</v>
      </c>
    </row>
    <row r="34" customFormat="false" ht="15" hidden="false" customHeight="false" outlineLevel="0" collapsed="false">
      <c r="A34" s="4" t="s">
        <v>144</v>
      </c>
      <c r="B34" s="2" t="s">
        <v>128</v>
      </c>
      <c r="C34" s="15" t="n">
        <f aca="false">C33-C24</f>
        <v>1209</v>
      </c>
      <c r="D34" s="15" t="n">
        <f aca="false">D33-D24</f>
        <v>1384</v>
      </c>
      <c r="E34" s="15" t="n">
        <f aca="false">E33-E24</f>
        <v>788</v>
      </c>
      <c r="F34" s="15" t="n">
        <f aca="false">F33-F24</f>
        <v>321</v>
      </c>
      <c r="G34" s="15" t="n">
        <f aca="false">G33-G24</f>
        <v>927</v>
      </c>
      <c r="H34" s="15" t="n">
        <f aca="false">H33-H24</f>
        <v>1006</v>
      </c>
      <c r="I34" s="15" t="n">
        <f aca="false">I33-I24</f>
        <v>553</v>
      </c>
      <c r="J34" s="15" t="n">
        <f aca="false">J33-J24</f>
        <v>325</v>
      </c>
      <c r="K34" s="15" t="n">
        <f aca="false">K33-K24</f>
        <v>888</v>
      </c>
    </row>
    <row r="35" customFormat="false" ht="15" hidden="false" customHeight="false" outlineLevel="0" collapsed="false">
      <c r="A35" s="4" t="s">
        <v>145</v>
      </c>
      <c r="B35" s="2" t="s">
        <v>100</v>
      </c>
      <c r="C35" s="24" t="n">
        <f aca="false">C34/C11</f>
        <v>0.104323064975408</v>
      </c>
      <c r="D35" s="24" t="n">
        <f aca="false">D34/D11</f>
        <v>0.112028492795856</v>
      </c>
      <c r="E35" s="24" t="n">
        <f aca="false">E34/E11</f>
        <v>0.0699263466146064</v>
      </c>
      <c r="F35" s="24" t="n">
        <f aca="false">F34/F11</f>
        <v>0.028926736955934</v>
      </c>
      <c r="G35" s="24" t="n">
        <f aca="false">G34/G11</f>
        <v>0.0790955631399317</v>
      </c>
      <c r="H35" s="24" t="n">
        <f aca="false">H34/H11</f>
        <v>0.0809527641425927</v>
      </c>
      <c r="I35" s="24" t="n">
        <f aca="false">I34/I11</f>
        <v>0.0490291692525933</v>
      </c>
      <c r="J35" s="24" t="n">
        <f aca="false">J34/J11</f>
        <v>0.0296208530805687</v>
      </c>
      <c r="K35" s="24" t="n">
        <f aca="false">K34/K11</f>
        <v>0.0791937929189334</v>
      </c>
    </row>
    <row r="36" customFormat="false" ht="15" hidden="false" customHeight="false" outlineLevel="0" collapsed="false">
      <c r="A36" s="4" t="s">
        <v>146</v>
      </c>
      <c r="B36" s="2" t="s">
        <v>128</v>
      </c>
      <c r="C36" s="23" t="n">
        <v>1051</v>
      </c>
      <c r="D36" s="23" t="n">
        <v>1163</v>
      </c>
      <c r="E36" s="23" t="n">
        <v>794</v>
      </c>
      <c r="F36" s="23" t="n">
        <v>211</v>
      </c>
      <c r="G36" s="23" t="n">
        <v>727</v>
      </c>
      <c r="H36" s="23" t="n">
        <v>792</v>
      </c>
      <c r="I36" s="23" t="n">
        <v>520</v>
      </c>
      <c r="J36" s="23" t="n">
        <v>1069</v>
      </c>
      <c r="K36" s="23" t="n">
        <v>712</v>
      </c>
    </row>
    <row r="37" customFormat="false" ht="15" hidden="false" customHeight="false" outlineLevel="0" collapsed="false">
      <c r="A37" s="3" t="s">
        <v>147</v>
      </c>
    </row>
    <row r="38" customFormat="false" ht="15" hidden="false" customHeight="false" outlineLevel="0" collapsed="false">
      <c r="A38" s="4" t="s">
        <v>148</v>
      </c>
      <c r="B38" s="2" t="s">
        <v>128</v>
      </c>
      <c r="C38" s="22" t="s">
        <v>129</v>
      </c>
      <c r="D38" s="23" t="n">
        <v>7981</v>
      </c>
      <c r="E38" s="22" t="s">
        <v>129</v>
      </c>
      <c r="F38" s="23" t="n">
        <v>7489</v>
      </c>
      <c r="G38" s="22" t="s">
        <v>129</v>
      </c>
      <c r="H38" s="23" t="n">
        <v>7726</v>
      </c>
      <c r="I38" s="23" t="n">
        <v>7487</v>
      </c>
      <c r="J38" s="23" t="n">
        <v>7501</v>
      </c>
      <c r="K38" s="23" t="n">
        <v>7846</v>
      </c>
    </row>
    <row r="39" customFormat="false" ht="15" hidden="false" customHeight="false" outlineLevel="0" collapsed="false">
      <c r="A39" s="4" t="s">
        <v>149</v>
      </c>
      <c r="B39" s="2" t="s">
        <v>100</v>
      </c>
      <c r="C39" s="22" t="s">
        <v>129</v>
      </c>
      <c r="D39" s="22" t="s">
        <v>129</v>
      </c>
      <c r="E39" s="22" t="s">
        <v>129</v>
      </c>
      <c r="F39" s="22" t="s">
        <v>129</v>
      </c>
      <c r="G39" s="22" t="s">
        <v>129</v>
      </c>
      <c r="H39" s="24" t="n">
        <f aca="false">H38/D38-1</f>
        <v>-0.0319508833479514</v>
      </c>
      <c r="I39" s="22" t="s">
        <v>129</v>
      </c>
      <c r="J39" s="24" t="n">
        <f aca="false">J38/F38-1</f>
        <v>0.00160235011349985</v>
      </c>
      <c r="K39" s="20" t="n">
        <v>-0.03</v>
      </c>
    </row>
    <row r="41" customFormat="false" ht="15" hidden="false" customHeight="false" outlineLevel="0" collapsed="false">
      <c r="A41" s="3" t="s">
        <v>150</v>
      </c>
    </row>
    <row r="42" customFormat="false" ht="15" hidden="false" customHeight="false" outlineLevel="0" collapsed="false">
      <c r="A42" s="5" t="s">
        <v>126</v>
      </c>
      <c r="B42" s="6"/>
      <c r="C42" s="6" t="s">
        <v>151</v>
      </c>
      <c r="D42" s="6" t="s">
        <v>152</v>
      </c>
      <c r="E42" s="6" t="s">
        <v>153</v>
      </c>
      <c r="F42" s="6" t="s">
        <v>154</v>
      </c>
    </row>
    <row r="43" customFormat="false" ht="15" hidden="false" customHeight="false" outlineLevel="0" collapsed="false">
      <c r="A43" s="4" t="s">
        <v>131</v>
      </c>
      <c r="C43" s="15" t="n">
        <f aca="false">SUM(C11:F11)</f>
        <v>46309</v>
      </c>
      <c r="D43" s="23" t="n">
        <v>46309</v>
      </c>
      <c r="E43" s="15" t="n">
        <f aca="false">SUM(G11:J11)</f>
        <v>46398</v>
      </c>
      <c r="F43" s="23" t="n">
        <v>46398</v>
      </c>
    </row>
    <row r="44" customFormat="false" ht="15" hidden="false" customHeight="false" outlineLevel="0" collapsed="false">
      <c r="A44" s="4" t="s">
        <v>135</v>
      </c>
      <c r="C44" s="15" t="n">
        <f aca="false">SUM(C23:F23)</f>
        <v>19790</v>
      </c>
      <c r="D44" s="23" t="n">
        <v>19790</v>
      </c>
      <c r="E44" s="15" t="n">
        <f aca="false">SUM(G23:J23)</f>
        <v>19911</v>
      </c>
      <c r="F44" s="23" t="n">
        <v>19911</v>
      </c>
    </row>
    <row r="45" customFormat="false" ht="15" hidden="false" customHeight="false" outlineLevel="0" collapsed="false">
      <c r="A45" s="4" t="s">
        <v>141</v>
      </c>
      <c r="C45" s="15" t="n">
        <f aca="false">SUM(C29:F29)</f>
        <v>4689</v>
      </c>
      <c r="D45" s="23" t="n">
        <v>4689</v>
      </c>
      <c r="E45" s="15" t="n">
        <f aca="false">SUM(G29:J29)</f>
        <v>4754</v>
      </c>
      <c r="F45" s="23" t="n">
        <v>4754</v>
      </c>
    </row>
    <row r="46" customFormat="false" ht="15" hidden="false" customHeight="false" outlineLevel="0" collapsed="false">
      <c r="A46" s="4" t="s">
        <v>142</v>
      </c>
      <c r="C46" s="15" t="n">
        <f aca="false">SUM(C31:F31)</f>
        <v>11399</v>
      </c>
      <c r="D46" s="23" t="n">
        <v>11399</v>
      </c>
      <c r="E46" s="15" t="n">
        <f aca="false">SUM(G31:J31)</f>
        <v>11360</v>
      </c>
      <c r="F46" s="23" t="n">
        <v>11360</v>
      </c>
    </row>
    <row r="47" customFormat="false" ht="15" hidden="false" customHeight="false" outlineLevel="0" collapsed="false">
      <c r="A47" s="4" t="s">
        <v>146</v>
      </c>
      <c r="C47" s="15" t="n">
        <f aca="false">SUM(C36:F36)</f>
        <v>3219</v>
      </c>
      <c r="D47" s="23" t="n">
        <v>3219</v>
      </c>
      <c r="E47" s="15" t="n">
        <f aca="false">SUM(G36:J36)</f>
        <v>3108</v>
      </c>
      <c r="F47" s="23" t="n">
        <v>3108</v>
      </c>
    </row>
    <row r="48" customFormat="false" ht="15" hidden="false" customHeight="false" outlineLevel="0" collapsed="false">
      <c r="A48" s="4" t="s">
        <v>75</v>
      </c>
      <c r="E48" s="15" t="n">
        <f aca="false">SUM(G5:J5)</f>
        <v>20511</v>
      </c>
      <c r="F48" s="23" t="n">
        <v>20511</v>
      </c>
    </row>
    <row r="49" customFormat="false" ht="15" hidden="false" customHeight="false" outlineLevel="0" collapsed="false">
      <c r="A49" s="4" t="s">
        <v>76</v>
      </c>
      <c r="E49" s="15" t="n">
        <f aca="false">SUM(G6:J6)</f>
        <v>12572</v>
      </c>
      <c r="F49" s="23" t="n">
        <v>12572</v>
      </c>
    </row>
    <row r="50" customFormat="false" ht="15" hidden="false" customHeight="false" outlineLevel="0" collapsed="false">
      <c r="A50" s="4" t="s">
        <v>77</v>
      </c>
      <c r="E50" s="15" t="n">
        <f aca="false">SUM(G7:J7)</f>
        <v>5847</v>
      </c>
      <c r="F50" s="23" t="n">
        <v>5847</v>
      </c>
    </row>
    <row r="51" customFormat="false" ht="15" hidden="false" customHeight="false" outlineLevel="0" collapsed="false">
      <c r="A51" s="4" t="s">
        <v>78</v>
      </c>
      <c r="E51" s="15" t="n">
        <f aca="false">SUM(G8:J8)</f>
        <v>6243</v>
      </c>
      <c r="F51" s="23" t="n">
        <v>6243</v>
      </c>
    </row>
    <row r="53" customFormat="false" ht="15" hidden="false" customHeight="false" outlineLevel="0" collapsed="false">
      <c r="A53" s="3" t="s">
        <v>155</v>
      </c>
    </row>
    <row r="54" customFormat="false" ht="15" hidden="false" customHeight="false" outlineLevel="0" collapsed="false">
      <c r="A54" s="2" t="s">
        <v>156</v>
      </c>
    </row>
    <row r="55" customFormat="false" ht="15" hidden="false" customHeight="false" outlineLevel="0" collapsed="false">
      <c r="A55" s="2" t="s">
        <v>157</v>
      </c>
    </row>
    <row r="56" customFormat="false" ht="15" hidden="false" customHeight="false" outlineLevel="0" collapsed="false">
      <c r="A56" s="2" t="s">
        <v>158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2"/>
    <col collapsed="false" customWidth="true" hidden="false" outlineLevel="0" max="3" min="3" style="0" width="15"/>
    <col collapsed="false" customWidth="true" hidden="false" outlineLevel="0" max="8" min="4" style="0" width="12"/>
    <col collapsed="false" customWidth="true" hidden="false" outlineLevel="0" max="9" min="9" style="0" width="14"/>
  </cols>
  <sheetData>
    <row r="1" customFormat="false" ht="19.7" hidden="false" customHeight="false" outlineLevel="0" collapsed="false">
      <c r="A1" s="1" t="s">
        <v>159</v>
      </c>
    </row>
    <row r="2" customFormat="false" ht="15" hidden="false" customHeight="false" outlineLevel="0" collapsed="false">
      <c r="A2" s="2" t="s">
        <v>160</v>
      </c>
    </row>
    <row r="5" customFormat="false" ht="15" hidden="false" customHeight="false" outlineLevel="0" collapsed="false">
      <c r="A5" s="5" t="s">
        <v>161</v>
      </c>
      <c r="B5" s="6"/>
      <c r="C5" s="6" t="s">
        <v>162</v>
      </c>
      <c r="D5" s="6" t="s">
        <v>69</v>
      </c>
      <c r="E5" s="6" t="s">
        <v>70</v>
      </c>
      <c r="F5" s="6" t="s">
        <v>71</v>
      </c>
      <c r="G5" s="6" t="s">
        <v>163</v>
      </c>
      <c r="H5" s="6" t="s">
        <v>164</v>
      </c>
      <c r="I5" s="6" t="s">
        <v>165</v>
      </c>
    </row>
    <row r="6" customFormat="false" ht="15" hidden="false" customHeight="false" outlineLevel="0" collapsed="false">
      <c r="A6" s="4" t="s">
        <v>75</v>
      </c>
      <c r="C6" s="8" t="n">
        <f aca="false">Historicals!K5</f>
        <v>5127</v>
      </c>
      <c r="D6" s="15" t="n">
        <f aca="false">Historicals!H5*(1+Inputs!$C$8)</f>
        <v>5238.69</v>
      </c>
      <c r="E6" s="15" t="n">
        <f aca="false">Historicals!I5*(1+Inputs!$C$8)</f>
        <v>4674.18</v>
      </c>
      <c r="F6" s="15" t="n">
        <f aca="false">Historicals!J5*(1+Inputs!$C$8)</f>
        <v>4493.76</v>
      </c>
      <c r="G6" s="7" t="n">
        <f aca="false">SUM(C6:F6)</f>
        <v>19533.63</v>
      </c>
      <c r="H6" s="8" t="n">
        <f aca="false">SUM(Historicals!G5:J5)</f>
        <v>20511</v>
      </c>
    </row>
    <row r="7" customFormat="false" ht="15" hidden="false" customHeight="false" outlineLevel="0" collapsed="false">
      <c r="A7" s="4" t="s">
        <v>76</v>
      </c>
      <c r="C7" s="8" t="n">
        <f aca="false">Historicals!K6</f>
        <v>3176</v>
      </c>
      <c r="D7" s="15" t="n">
        <f aca="false">Historicals!H6*(1+Inputs!$C$9)</f>
        <v>3120.64</v>
      </c>
      <c r="E7" s="15" t="n">
        <f aca="false">Historicals!I6*(1+Inputs!$C$9)</f>
        <v>2644.08</v>
      </c>
      <c r="F7" s="15" t="n">
        <f aca="false">Historicals!J6*(1+Inputs!$C$9)</f>
        <v>2737</v>
      </c>
      <c r="G7" s="7" t="n">
        <f aca="false">SUM(C7:F7)</f>
        <v>11677.72</v>
      </c>
      <c r="H7" s="8" t="n">
        <f aca="false">SUM(Historicals!G6:J6)</f>
        <v>12572</v>
      </c>
    </row>
    <row r="8" customFormat="false" ht="15" hidden="false" customHeight="false" outlineLevel="0" collapsed="false">
      <c r="A8" s="4" t="s">
        <v>77</v>
      </c>
      <c r="C8" s="8" t="n">
        <f aca="false">Historicals!K7</f>
        <v>1180</v>
      </c>
      <c r="D8" s="15" t="n">
        <f aca="false">Historicals!H7*(1+Inputs!$C$10)</f>
        <v>1138.4</v>
      </c>
      <c r="E8" s="15" t="n">
        <f aca="false">Historicals!I7*(1+Inputs!$C$10)</f>
        <v>1292</v>
      </c>
      <c r="F8" s="15" t="n">
        <f aca="false">Historicals!J7*(1+Inputs!$C$10)</f>
        <v>1037.6</v>
      </c>
      <c r="G8" s="7" t="n">
        <f aca="false">SUM(C8:F8)</f>
        <v>4648</v>
      </c>
      <c r="H8" s="8" t="n">
        <f aca="false">SUM(Historicals!G7:J7)</f>
        <v>5847</v>
      </c>
    </row>
    <row r="9" customFormat="false" ht="15" hidden="false" customHeight="false" outlineLevel="0" collapsed="false">
      <c r="A9" s="4" t="s">
        <v>78</v>
      </c>
      <c r="C9" s="8" t="n">
        <f aca="false">Historicals!K8</f>
        <v>1463</v>
      </c>
      <c r="D9" s="15" t="n">
        <f aca="false">Historicals!H8*(1+Inputs!$C$11)</f>
        <v>1583.65</v>
      </c>
      <c r="E9" s="15" t="n">
        <f aca="false">Historicals!I8*(1+Inputs!$C$11)</f>
        <v>1415.5</v>
      </c>
      <c r="F9" s="15" t="n">
        <f aca="false">Historicals!J8*(1+Inputs!$C$11)</f>
        <v>1516.2</v>
      </c>
      <c r="G9" s="7" t="n">
        <f aca="false">SUM(C9:F9)</f>
        <v>5978.35</v>
      </c>
      <c r="H9" s="8" t="n">
        <f aca="false">SUM(Historicals!G8:J8)</f>
        <v>6243</v>
      </c>
    </row>
    <row r="10" customFormat="false" ht="15" hidden="false" customHeight="false" outlineLevel="0" collapsed="false">
      <c r="A10" s="4" t="s">
        <v>79</v>
      </c>
      <c r="C10" s="8" t="n">
        <f aca="false">Historicals!K9</f>
        <v>263</v>
      </c>
      <c r="D10" s="15" t="n">
        <f aca="false">Historicals!H9*(1+Inputs!$C$12)</f>
        <v>240</v>
      </c>
      <c r="E10" s="15" t="n">
        <f aca="false">Historicals!I9*(1+Inputs!$C$12)</f>
        <v>211.2</v>
      </c>
      <c r="F10" s="15" t="n">
        <f aca="false">Historicals!J9*(1+Inputs!$C$12)</f>
        <v>195.2</v>
      </c>
      <c r="G10" s="7" t="n">
        <f aca="false">SUM(C10:F10)</f>
        <v>909.4</v>
      </c>
      <c r="H10" s="8" t="n">
        <f aca="false">SUM(Historicals!G9:J9)</f>
        <v>1174</v>
      </c>
    </row>
    <row r="11" customFormat="false" ht="15" hidden="false" customHeight="false" outlineLevel="0" collapsed="false">
      <c r="A11" s="4" t="s">
        <v>130</v>
      </c>
      <c r="C11" s="8" t="n">
        <f aca="false">Historicals!K10</f>
        <v>4</v>
      </c>
      <c r="D11" s="8" t="n">
        <f aca="false">Historicals!H10</f>
        <v>12</v>
      </c>
      <c r="E11" s="8" t="n">
        <f aca="false">Historicals!I10</f>
        <v>10</v>
      </c>
      <c r="F11" s="8" t="n">
        <f aca="false">Historicals!J10</f>
        <v>28</v>
      </c>
      <c r="G11" s="7" t="n">
        <f aca="false">SUM(C11:F11)</f>
        <v>54</v>
      </c>
      <c r="H11" s="8" t="n">
        <f aca="false">SUM(Historicals!G10:J10)</f>
        <v>51</v>
      </c>
    </row>
    <row r="12" customFormat="false" ht="15" hidden="false" customHeight="false" outlineLevel="0" collapsed="false">
      <c r="A12" s="13" t="s">
        <v>131</v>
      </c>
      <c r="C12" s="26" t="n">
        <f aca="false">SUM(C6:C11)</f>
        <v>11213</v>
      </c>
      <c r="D12" s="26" t="n">
        <f aca="false">SUM(D6:D11)</f>
        <v>11333.38</v>
      </c>
      <c r="E12" s="26" t="n">
        <f aca="false">SUM(E6:E11)</f>
        <v>10246.96</v>
      </c>
      <c r="F12" s="26" t="n">
        <f aca="false">SUM(F6:F11)</f>
        <v>10007.76</v>
      </c>
      <c r="G12" s="7" t="n">
        <f aca="false">SUM(C12:F12)</f>
        <v>42801.1</v>
      </c>
      <c r="H12" s="8" t="n">
        <f aca="false">SUM(Historicals!G11:J11)</f>
        <v>46398</v>
      </c>
      <c r="I12" s="15" t="n">
        <f aca="false">H12</f>
        <v>46398</v>
      </c>
    </row>
    <row r="13" customFormat="false" ht="15" hidden="false" customHeight="false" outlineLevel="0" collapsed="false">
      <c r="A13" s="4" t="s">
        <v>132</v>
      </c>
      <c r="C13" s="24" t="n">
        <f aca="false">C12/Historicals!G11-1</f>
        <v>-0.043259385665529</v>
      </c>
      <c r="D13" s="24" t="n">
        <f aca="false">D12/Historicals!H11-1</f>
        <v>-0.088003540677557</v>
      </c>
      <c r="E13" s="24" t="n">
        <f aca="false">E12/Historicals!I11-1</f>
        <v>-0.0915010195939358</v>
      </c>
      <c r="F13" s="24" t="n">
        <f aca="false">F12/Historicals!J11-1</f>
        <v>-0.0878818811520234</v>
      </c>
      <c r="G13" s="9" t="n">
        <f aca="false">G12/H12-1</f>
        <v>-0.0775227380490541</v>
      </c>
    </row>
    <row r="14" customFormat="false" ht="15" hidden="false" customHeight="false" outlineLevel="0" collapsed="false">
      <c r="A14" s="4" t="s">
        <v>166</v>
      </c>
      <c r="C14" s="24" t="n">
        <f aca="false">C15/C12</f>
        <v>0.427896191920093</v>
      </c>
      <c r="D14" s="24" t="n">
        <f aca="false">Inputs!$C$13</f>
        <v>0.415</v>
      </c>
      <c r="E14" s="24" t="n">
        <f aca="false">Inputs!$C$13</f>
        <v>0.415</v>
      </c>
      <c r="F14" s="24" t="n">
        <f aca="false">Inputs!$C$13</f>
        <v>0.415</v>
      </c>
      <c r="G14" s="9" t="n">
        <f aca="false">G15/G12</f>
        <v>0.418378534663829</v>
      </c>
      <c r="H14" s="24" t="n">
        <f aca="false">H15/H12</f>
        <v>0.429134876503298</v>
      </c>
      <c r="I14" s="24" t="n">
        <f aca="false">I15/I12</f>
        <v>0.40788396051554</v>
      </c>
    </row>
    <row r="15" customFormat="false" ht="15" hidden="false" customHeight="false" outlineLevel="0" collapsed="false">
      <c r="A15" s="4" t="s">
        <v>167</v>
      </c>
      <c r="C15" s="8" t="n">
        <f aca="false">Historicals!K23</f>
        <v>4798</v>
      </c>
      <c r="D15" s="15" t="n">
        <f aca="false">D12*D14</f>
        <v>4703.3527</v>
      </c>
      <c r="E15" s="15" t="n">
        <f aca="false">E12*E14</f>
        <v>4252.4884</v>
      </c>
      <c r="F15" s="15" t="n">
        <f aca="false">F12*F14</f>
        <v>4153.2204</v>
      </c>
      <c r="G15" s="7" t="n">
        <f aca="false">SUM(C15:F15)</f>
        <v>17907.0615</v>
      </c>
      <c r="H15" s="8" t="n">
        <f aca="false">SUM(Historicals!G23:J23)</f>
        <v>19911</v>
      </c>
      <c r="I15" s="15" t="n">
        <f aca="false">H15-Historicals!J24</f>
        <v>18925</v>
      </c>
    </row>
    <row r="16" customFormat="false" ht="15" hidden="false" customHeight="false" outlineLevel="0" collapsed="false">
      <c r="A16" s="4" t="s">
        <v>141</v>
      </c>
      <c r="C16" s="8" t="n">
        <f aca="false">Historicals!K29</f>
        <v>1252</v>
      </c>
      <c r="D16" s="15" t="n">
        <f aca="false">D12*Inputs!$C$14</f>
        <v>1224.00504</v>
      </c>
      <c r="E16" s="15" t="n">
        <f aca="false">E12*Inputs!$C$14</f>
        <v>1106.67168</v>
      </c>
      <c r="F16" s="15" t="n">
        <f aca="false">F12*Inputs!$C$14</f>
        <v>1080.83808</v>
      </c>
      <c r="G16" s="7" t="n">
        <f aca="false">SUM(C16:F16)</f>
        <v>4663.5148</v>
      </c>
      <c r="H16" s="8" t="n">
        <f aca="false">SUM(Historicals!G29:J29)</f>
        <v>4754</v>
      </c>
    </row>
    <row r="17" customFormat="false" ht="15" hidden="false" customHeight="false" outlineLevel="0" collapsed="false">
      <c r="A17" s="4" t="s">
        <v>142</v>
      </c>
      <c r="C17" s="8" t="n">
        <f aca="false">Historicals!K31</f>
        <v>2658</v>
      </c>
      <c r="D17" s="15" t="n">
        <f aca="false">Historicals!H31*(1+Inputs!$C$15)</f>
        <v>2655.36</v>
      </c>
      <c r="E17" s="15" t="n">
        <f aca="false">Historicals!I31*(1+Inputs!$C$15)</f>
        <v>2771.52</v>
      </c>
      <c r="F17" s="15" t="n">
        <f aca="false">Historicals!J31*(1+Inputs!$C$15)</f>
        <v>2763.84</v>
      </c>
      <c r="G17" s="7" t="n">
        <f aca="false">SUM(C17:F17)</f>
        <v>10848.72</v>
      </c>
      <c r="H17" s="8" t="n">
        <f aca="false">SUM(Historicals!G31:J31)</f>
        <v>11360</v>
      </c>
    </row>
    <row r="18" customFormat="false" ht="15" hidden="false" customHeight="false" outlineLevel="0" collapsed="false">
      <c r="A18" s="13" t="s">
        <v>168</v>
      </c>
      <c r="C18" s="26" t="n">
        <f aca="false">C15-C16-C17</f>
        <v>888</v>
      </c>
      <c r="D18" s="26" t="n">
        <f aca="false">D15-D16-D17</f>
        <v>823.987659999999</v>
      </c>
      <c r="E18" s="26" t="n">
        <f aca="false">E15-E16-E17</f>
        <v>374.296719999999</v>
      </c>
      <c r="F18" s="26" t="n">
        <f aca="false">F15-F16-F17</f>
        <v>308.54232</v>
      </c>
      <c r="G18" s="7" t="n">
        <f aca="false">SUM(C18:F18)</f>
        <v>2394.8267</v>
      </c>
      <c r="H18" s="8" t="n">
        <f aca="false">SUM(Historicals!G33:J33)</f>
        <v>3797</v>
      </c>
      <c r="I18" s="15" t="n">
        <f aca="false">H18-Historicals!J24</f>
        <v>2811</v>
      </c>
    </row>
    <row r="19" customFormat="false" ht="15" hidden="false" customHeight="false" outlineLevel="0" collapsed="false">
      <c r="A19" s="4" t="s">
        <v>169</v>
      </c>
      <c r="C19" s="24" t="n">
        <f aca="false">C18/C12</f>
        <v>0.0791937929189334</v>
      </c>
      <c r="D19" s="24" t="n">
        <f aca="false">D18/D12</f>
        <v>0.0727044941579652</v>
      </c>
      <c r="E19" s="24" t="n">
        <f aca="false">E18/E12</f>
        <v>0.0365275867184023</v>
      </c>
      <c r="F19" s="24" t="n">
        <f aca="false">F18/F12</f>
        <v>0.0308303076812394</v>
      </c>
      <c r="G19" s="9" t="n">
        <f aca="false">G18/G12</f>
        <v>0.0559524568293805</v>
      </c>
      <c r="H19" s="24" t="n">
        <f aca="false">H18/H12</f>
        <v>0.0818354239406871</v>
      </c>
      <c r="I19" s="24" t="n">
        <f aca="false">I18/I12</f>
        <v>0.060584507952929</v>
      </c>
    </row>
    <row r="23" customFormat="false" ht="15" hidden="false" customHeight="false" outlineLevel="0" collapsed="false">
      <c r="A23" s="5" t="s">
        <v>170</v>
      </c>
      <c r="B23" s="6"/>
      <c r="C23" s="6" t="s">
        <v>162</v>
      </c>
      <c r="D23" s="6" t="s">
        <v>69</v>
      </c>
      <c r="E23" s="6" t="s">
        <v>70</v>
      </c>
      <c r="F23" s="6" t="s">
        <v>71</v>
      </c>
      <c r="G23" s="6" t="s">
        <v>163</v>
      </c>
      <c r="H23" s="6" t="s">
        <v>164</v>
      </c>
      <c r="I23" s="6" t="s">
        <v>165</v>
      </c>
    </row>
    <row r="24" customFormat="false" ht="15" hidden="false" customHeight="false" outlineLevel="0" collapsed="false">
      <c r="A24" s="4" t="s">
        <v>75</v>
      </c>
      <c r="C24" s="8" t="n">
        <f aca="false">Historicals!K5</f>
        <v>5127</v>
      </c>
      <c r="D24" s="15" t="n">
        <f aca="false">Historicals!H5*(1+Inputs!$D$8)</f>
        <v>5520.34</v>
      </c>
      <c r="E24" s="15" t="n">
        <f aca="false">Historicals!I5*(1+Inputs!$D$8)</f>
        <v>4925.48</v>
      </c>
      <c r="F24" s="15" t="n">
        <f aca="false">Historicals!J5*(1+Inputs!$D$8)</f>
        <v>4735.36</v>
      </c>
      <c r="G24" s="7" t="n">
        <f aca="false">SUM(C24:F24)</f>
        <v>20308.18</v>
      </c>
      <c r="H24" s="8" t="n">
        <f aca="false">SUM(Historicals!G5:J5)</f>
        <v>20511</v>
      </c>
    </row>
    <row r="25" customFormat="false" ht="15" hidden="false" customHeight="false" outlineLevel="0" collapsed="false">
      <c r="A25" s="4" t="s">
        <v>76</v>
      </c>
      <c r="C25" s="8" t="n">
        <f aca="false">Historicals!K6</f>
        <v>3176</v>
      </c>
      <c r="D25" s="15" t="n">
        <f aca="false">Historicals!H6*(1+Inputs!$D$9)</f>
        <v>3256.32</v>
      </c>
      <c r="E25" s="15" t="n">
        <f aca="false">Historicals!I6*(1+Inputs!$D$9)</f>
        <v>2759.04</v>
      </c>
      <c r="F25" s="15" t="n">
        <f aca="false">Historicals!J6*(1+Inputs!$D$9)</f>
        <v>2856</v>
      </c>
      <c r="G25" s="7" t="n">
        <f aca="false">SUM(C25:F25)</f>
        <v>12047.36</v>
      </c>
      <c r="H25" s="8" t="n">
        <f aca="false">SUM(Historicals!G6:J6)</f>
        <v>12572</v>
      </c>
    </row>
    <row r="26" customFormat="false" ht="15" hidden="false" customHeight="false" outlineLevel="0" collapsed="false">
      <c r="A26" s="4" t="s">
        <v>77</v>
      </c>
      <c r="C26" s="8" t="n">
        <f aca="false">Historicals!K7</f>
        <v>1180</v>
      </c>
      <c r="D26" s="15" t="n">
        <f aca="false">Historicals!H7*(1+Inputs!$D$10)</f>
        <v>1252.24</v>
      </c>
      <c r="E26" s="15" t="n">
        <f aca="false">Historicals!I7*(1+Inputs!$D$10)</f>
        <v>1421.2</v>
      </c>
      <c r="F26" s="15" t="n">
        <f aca="false">Historicals!J7*(1+Inputs!$D$10)</f>
        <v>1141.36</v>
      </c>
      <c r="G26" s="7" t="n">
        <f aca="false">SUM(C26:F26)</f>
        <v>4994.8</v>
      </c>
      <c r="H26" s="8" t="n">
        <f aca="false">SUM(Historicals!G7:J7)</f>
        <v>5847</v>
      </c>
    </row>
    <row r="27" customFormat="false" ht="15" hidden="false" customHeight="false" outlineLevel="0" collapsed="false">
      <c r="A27" s="4" t="s">
        <v>78</v>
      </c>
      <c r="C27" s="8" t="n">
        <f aca="false">Historicals!K8</f>
        <v>1463</v>
      </c>
      <c r="D27" s="15" t="n">
        <f aca="false">Historicals!H8*(1+Inputs!$D$11)</f>
        <v>1633.66</v>
      </c>
      <c r="E27" s="15" t="n">
        <f aca="false">Historicals!I8*(1+Inputs!$D$11)</f>
        <v>1460.2</v>
      </c>
      <c r="F27" s="15" t="n">
        <f aca="false">Historicals!J8*(1+Inputs!$D$11)</f>
        <v>1564.08</v>
      </c>
      <c r="G27" s="7" t="n">
        <f aca="false">SUM(C27:F27)</f>
        <v>6120.94</v>
      </c>
      <c r="H27" s="8" t="n">
        <f aca="false">SUM(Historicals!G8:J8)</f>
        <v>6243</v>
      </c>
    </row>
    <row r="28" customFormat="false" ht="15" hidden="false" customHeight="false" outlineLevel="0" collapsed="false">
      <c r="A28" s="4" t="s">
        <v>79</v>
      </c>
      <c r="C28" s="8" t="n">
        <f aca="false">Historicals!K9</f>
        <v>263</v>
      </c>
      <c r="D28" s="15" t="n">
        <f aca="false">Historicals!H9*(1+Inputs!$D$12)</f>
        <v>264</v>
      </c>
      <c r="E28" s="15" t="n">
        <f aca="false">Historicals!I9*(1+Inputs!$D$12)</f>
        <v>232.32</v>
      </c>
      <c r="F28" s="15" t="n">
        <f aca="false">Historicals!J9*(1+Inputs!$D$12)</f>
        <v>214.72</v>
      </c>
      <c r="G28" s="7" t="n">
        <f aca="false">SUM(C28:F28)</f>
        <v>974.04</v>
      </c>
      <c r="H28" s="8" t="n">
        <f aca="false">SUM(Historicals!G9:J9)</f>
        <v>1174</v>
      </c>
    </row>
    <row r="29" customFormat="false" ht="15" hidden="false" customHeight="false" outlineLevel="0" collapsed="false">
      <c r="A29" s="4" t="s">
        <v>130</v>
      </c>
      <c r="C29" s="8" t="n">
        <f aca="false">Historicals!K10</f>
        <v>4</v>
      </c>
      <c r="D29" s="8" t="n">
        <f aca="false">Historicals!H10</f>
        <v>12</v>
      </c>
      <c r="E29" s="8" t="n">
        <f aca="false">Historicals!I10</f>
        <v>10</v>
      </c>
      <c r="F29" s="8" t="n">
        <f aca="false">Historicals!J10</f>
        <v>28</v>
      </c>
      <c r="G29" s="7" t="n">
        <f aca="false">SUM(C29:F29)</f>
        <v>54</v>
      </c>
      <c r="H29" s="8" t="n">
        <f aca="false">SUM(Historicals!G10:J10)</f>
        <v>51</v>
      </c>
    </row>
    <row r="30" customFormat="false" ht="15" hidden="false" customHeight="false" outlineLevel="0" collapsed="false">
      <c r="A30" s="13" t="s">
        <v>131</v>
      </c>
      <c r="C30" s="26" t="n">
        <f aca="false">SUM(C24:C29)</f>
        <v>11213</v>
      </c>
      <c r="D30" s="26" t="n">
        <f aca="false">SUM(D24:D29)</f>
        <v>11938.56</v>
      </c>
      <c r="E30" s="26" t="n">
        <f aca="false">SUM(E24:E29)</f>
        <v>10808.24</v>
      </c>
      <c r="F30" s="26" t="n">
        <f aca="false">SUM(F24:F29)</f>
        <v>10539.52</v>
      </c>
      <c r="G30" s="7" t="n">
        <f aca="false">SUM(C30:F30)</f>
        <v>44499.32</v>
      </c>
      <c r="H30" s="8" t="n">
        <f aca="false">SUM(Historicals!G11:J11)</f>
        <v>46398</v>
      </c>
      <c r="I30" s="15" t="n">
        <f aca="false">H30</f>
        <v>46398</v>
      </c>
    </row>
    <row r="31" customFormat="false" ht="15" hidden="false" customHeight="false" outlineLevel="0" collapsed="false">
      <c r="A31" s="4" t="s">
        <v>132</v>
      </c>
      <c r="C31" s="24" t="n">
        <f aca="false">C30/Historicals!G11-1</f>
        <v>-0.043259385665529</v>
      </c>
      <c r="D31" s="24" t="n">
        <f aca="false">D30/Historicals!H11-1</f>
        <v>-0.0393047396797297</v>
      </c>
      <c r="E31" s="24" t="n">
        <f aca="false">E30/Historicals!I11-1</f>
        <v>-0.0417377427076868</v>
      </c>
      <c r="F31" s="24" t="n">
        <f aca="false">F30/Historicals!J11-1</f>
        <v>-0.0394166970470289</v>
      </c>
      <c r="G31" s="9" t="n">
        <f aca="false">G30/H30-1</f>
        <v>-0.0409215914479072</v>
      </c>
    </row>
    <row r="32" customFormat="false" ht="15" hidden="false" customHeight="false" outlineLevel="0" collapsed="false">
      <c r="A32" s="4" t="s">
        <v>166</v>
      </c>
      <c r="C32" s="24" t="n">
        <f aca="false">C33/C30</f>
        <v>0.427896191920093</v>
      </c>
      <c r="D32" s="24" t="n">
        <f aca="false">Inputs!$D$13</f>
        <v>0.42</v>
      </c>
      <c r="E32" s="24" t="n">
        <f aca="false">Inputs!$D$13</f>
        <v>0.42</v>
      </c>
      <c r="F32" s="24" t="n">
        <f aca="false">Inputs!$D$13</f>
        <v>0.42</v>
      </c>
      <c r="G32" s="9" t="n">
        <f aca="false">G33/G30</f>
        <v>0.421989693325651</v>
      </c>
      <c r="H32" s="24" t="n">
        <f aca="false">H33/H30</f>
        <v>0.429134876503298</v>
      </c>
      <c r="I32" s="24" t="n">
        <f aca="false">I33/I30</f>
        <v>0.40788396051554</v>
      </c>
    </row>
    <row r="33" customFormat="false" ht="15" hidden="false" customHeight="false" outlineLevel="0" collapsed="false">
      <c r="A33" s="4" t="s">
        <v>167</v>
      </c>
      <c r="C33" s="8" t="n">
        <f aca="false">Historicals!K23</f>
        <v>4798</v>
      </c>
      <c r="D33" s="15" t="n">
        <f aca="false">D30*D32</f>
        <v>5014.1952</v>
      </c>
      <c r="E33" s="15" t="n">
        <f aca="false">E30*E32</f>
        <v>4539.4608</v>
      </c>
      <c r="F33" s="15" t="n">
        <f aca="false">F30*F32</f>
        <v>4426.5984</v>
      </c>
      <c r="G33" s="7" t="n">
        <f aca="false">SUM(C33:F33)</f>
        <v>18778.2544</v>
      </c>
      <c r="H33" s="8" t="n">
        <f aca="false">SUM(Historicals!G23:J23)</f>
        <v>19911</v>
      </c>
      <c r="I33" s="15" t="n">
        <f aca="false">H33-Historicals!J24</f>
        <v>18925</v>
      </c>
    </row>
    <row r="34" customFormat="false" ht="15" hidden="false" customHeight="false" outlineLevel="0" collapsed="false">
      <c r="A34" s="4" t="s">
        <v>141</v>
      </c>
      <c r="C34" s="8" t="n">
        <f aca="false">Historicals!K29</f>
        <v>1252</v>
      </c>
      <c r="D34" s="15" t="n">
        <f aca="false">D30*Inputs!$D$14</f>
        <v>1253.5488</v>
      </c>
      <c r="E34" s="15" t="n">
        <f aca="false">E30*Inputs!$D$14</f>
        <v>1134.8652</v>
      </c>
      <c r="F34" s="15" t="n">
        <f aca="false">F30*Inputs!$D$14</f>
        <v>1106.6496</v>
      </c>
      <c r="G34" s="7" t="n">
        <f aca="false">SUM(C34:F34)</f>
        <v>4747.0636</v>
      </c>
      <c r="H34" s="8" t="n">
        <f aca="false">SUM(Historicals!G29:J29)</f>
        <v>4754</v>
      </c>
    </row>
    <row r="35" customFormat="false" ht="15" hidden="false" customHeight="false" outlineLevel="0" collapsed="false">
      <c r="A35" s="4" t="s">
        <v>142</v>
      </c>
      <c r="C35" s="8" t="n">
        <f aca="false">Historicals!K31</f>
        <v>2658</v>
      </c>
      <c r="D35" s="15" t="n">
        <f aca="false">Historicals!H31*(1+Inputs!$D$15)</f>
        <v>2627.7</v>
      </c>
      <c r="E35" s="15" t="n">
        <f aca="false">Historicals!I31*(1+Inputs!$D$15)</f>
        <v>2742.65</v>
      </c>
      <c r="F35" s="15" t="n">
        <f aca="false">Historicals!J31*(1+Inputs!$D$15)</f>
        <v>2735.05</v>
      </c>
      <c r="G35" s="7" t="n">
        <f aca="false">SUM(C35:F35)</f>
        <v>10763.4</v>
      </c>
      <c r="H35" s="8" t="n">
        <f aca="false">SUM(Historicals!G31:J31)</f>
        <v>11360</v>
      </c>
    </row>
    <row r="36" customFormat="false" ht="15" hidden="false" customHeight="false" outlineLevel="0" collapsed="false">
      <c r="A36" s="13" t="s">
        <v>168</v>
      </c>
      <c r="C36" s="26" t="n">
        <f aca="false">C33-C34-C35</f>
        <v>888</v>
      </c>
      <c r="D36" s="26" t="n">
        <f aca="false">D33-D34-D35</f>
        <v>1132.9464</v>
      </c>
      <c r="E36" s="26" t="n">
        <f aca="false">E33-E34-E35</f>
        <v>661.9456</v>
      </c>
      <c r="F36" s="26" t="n">
        <f aca="false">F33-F34-F35</f>
        <v>584.8988</v>
      </c>
      <c r="G36" s="7" t="n">
        <f aca="false">SUM(C36:F36)</f>
        <v>3267.7908</v>
      </c>
      <c r="H36" s="8" t="n">
        <f aca="false">SUM(Historicals!G33:J33)</f>
        <v>3797</v>
      </c>
      <c r="I36" s="15" t="n">
        <f aca="false">H36-Historicals!J24</f>
        <v>2811</v>
      </c>
    </row>
    <row r="37" customFormat="false" ht="15" hidden="false" customHeight="false" outlineLevel="0" collapsed="false">
      <c r="A37" s="4" t="s">
        <v>169</v>
      </c>
      <c r="C37" s="24" t="n">
        <f aca="false">C36/C30</f>
        <v>0.0791937929189334</v>
      </c>
      <c r="D37" s="24" t="n">
        <f aca="false">D36/D30</f>
        <v>0.0948980781601801</v>
      </c>
      <c r="E37" s="24" t="n">
        <f aca="false">E36/E30</f>
        <v>0.0612445319496976</v>
      </c>
      <c r="F37" s="24" t="n">
        <f aca="false">F36/F30</f>
        <v>0.0554957721034734</v>
      </c>
      <c r="G37" s="9" t="n">
        <f aca="false">G36/G30</f>
        <v>0.0734346232706477</v>
      </c>
      <c r="H37" s="24" t="n">
        <f aca="false">H36/H30</f>
        <v>0.0818354239406871</v>
      </c>
      <c r="I37" s="24" t="n">
        <f aca="false">I36/I30</f>
        <v>0.060584507952929</v>
      </c>
    </row>
    <row r="41" customFormat="false" ht="15" hidden="false" customHeight="false" outlineLevel="0" collapsed="false">
      <c r="A41" s="5" t="s">
        <v>171</v>
      </c>
      <c r="B41" s="6"/>
      <c r="C41" s="6" t="s">
        <v>162</v>
      </c>
      <c r="D41" s="6" t="s">
        <v>69</v>
      </c>
      <c r="E41" s="6" t="s">
        <v>70</v>
      </c>
      <c r="F41" s="6" t="s">
        <v>71</v>
      </c>
      <c r="G41" s="6" t="s">
        <v>163</v>
      </c>
      <c r="H41" s="6" t="s">
        <v>164</v>
      </c>
      <c r="I41" s="6" t="s">
        <v>165</v>
      </c>
    </row>
    <row r="42" customFormat="false" ht="15" hidden="false" customHeight="false" outlineLevel="0" collapsed="false">
      <c r="A42" s="4" t="s">
        <v>75</v>
      </c>
      <c r="C42" s="8" t="n">
        <f aca="false">Historicals!K5</f>
        <v>5127</v>
      </c>
      <c r="D42" s="15" t="n">
        <f aca="false">Historicals!H5*(1+Inputs!$E$8)</f>
        <v>5069.7</v>
      </c>
      <c r="E42" s="15" t="n">
        <f aca="false">Historicals!I5*(1+Inputs!$E$8)</f>
        <v>4523.4</v>
      </c>
      <c r="F42" s="15" t="n">
        <f aca="false">Historicals!J5*(1+Inputs!$E$8)</f>
        <v>4348.8</v>
      </c>
      <c r="G42" s="7" t="n">
        <f aca="false">SUM(C42:F42)</f>
        <v>19068.9</v>
      </c>
      <c r="H42" s="8" t="n">
        <f aca="false">SUM(Historicals!G5:J5)</f>
        <v>20511</v>
      </c>
    </row>
    <row r="43" customFormat="false" ht="15" hidden="false" customHeight="false" outlineLevel="0" collapsed="false">
      <c r="A43" s="4" t="s">
        <v>76</v>
      </c>
      <c r="C43" s="8" t="n">
        <f aca="false">Historicals!K6</f>
        <v>3176</v>
      </c>
      <c r="D43" s="15" t="n">
        <f aca="false">Historicals!H6*(1+Inputs!$E$9)</f>
        <v>3018.88</v>
      </c>
      <c r="E43" s="15" t="n">
        <f aca="false">Historicals!I6*(1+Inputs!$E$9)</f>
        <v>2557.86</v>
      </c>
      <c r="F43" s="15" t="n">
        <f aca="false">Historicals!J6*(1+Inputs!$E$9)</f>
        <v>2647.75</v>
      </c>
      <c r="G43" s="7" t="n">
        <f aca="false">SUM(C43:F43)</f>
        <v>11400.49</v>
      </c>
      <c r="H43" s="8" t="n">
        <f aca="false">SUM(Historicals!G6:J6)</f>
        <v>12572</v>
      </c>
    </row>
    <row r="44" customFormat="false" ht="15" hidden="false" customHeight="false" outlineLevel="0" collapsed="false">
      <c r="A44" s="4" t="s">
        <v>77</v>
      </c>
      <c r="C44" s="8" t="n">
        <f aca="false">Historicals!K7</f>
        <v>1180</v>
      </c>
      <c r="D44" s="15" t="n">
        <f aca="false">Historicals!H7*(1+Inputs!$E$10)</f>
        <v>1024.56</v>
      </c>
      <c r="E44" s="15" t="n">
        <f aca="false">Historicals!I7*(1+Inputs!$E$10)</f>
        <v>1162.8</v>
      </c>
      <c r="F44" s="15" t="n">
        <f aca="false">Historicals!J7*(1+Inputs!$E$10)</f>
        <v>933.84</v>
      </c>
      <c r="G44" s="7" t="n">
        <f aca="false">SUM(C44:F44)</f>
        <v>4301.2</v>
      </c>
      <c r="H44" s="8" t="n">
        <f aca="false">SUM(Historicals!G7:J7)</f>
        <v>5847</v>
      </c>
    </row>
    <row r="45" customFormat="false" ht="15" hidden="false" customHeight="false" outlineLevel="0" collapsed="false">
      <c r="A45" s="4" t="s">
        <v>78</v>
      </c>
      <c r="C45" s="8" t="n">
        <f aca="false">Historicals!K8</f>
        <v>1463</v>
      </c>
      <c r="D45" s="15" t="n">
        <f aca="false">Historicals!H8*(1+Inputs!$E$11)</f>
        <v>1533.64</v>
      </c>
      <c r="E45" s="15" t="n">
        <f aca="false">Historicals!I8*(1+Inputs!$E$11)</f>
        <v>1370.8</v>
      </c>
      <c r="F45" s="15" t="n">
        <f aca="false">Historicals!J8*(1+Inputs!$E$11)</f>
        <v>1468.32</v>
      </c>
      <c r="G45" s="7" t="n">
        <f aca="false">SUM(C45:F45)</f>
        <v>5835.76</v>
      </c>
      <c r="H45" s="8" t="n">
        <f aca="false">SUM(Historicals!G8:J8)</f>
        <v>6243</v>
      </c>
    </row>
    <row r="46" customFormat="false" ht="15" hidden="false" customHeight="false" outlineLevel="0" collapsed="false">
      <c r="A46" s="4" t="s">
        <v>79</v>
      </c>
      <c r="C46" s="8" t="n">
        <f aca="false">Historicals!K9</f>
        <v>263</v>
      </c>
      <c r="D46" s="15" t="n">
        <f aca="false">Historicals!H9*(1+Inputs!$E$12)</f>
        <v>216</v>
      </c>
      <c r="E46" s="15" t="n">
        <f aca="false">Historicals!I9*(1+Inputs!$E$12)</f>
        <v>190.08</v>
      </c>
      <c r="F46" s="15" t="n">
        <f aca="false">Historicals!J9*(1+Inputs!$E$12)</f>
        <v>175.68</v>
      </c>
      <c r="G46" s="7" t="n">
        <f aca="false">SUM(C46:F46)</f>
        <v>844.76</v>
      </c>
      <c r="H46" s="8" t="n">
        <f aca="false">SUM(Historicals!G9:J9)</f>
        <v>1174</v>
      </c>
    </row>
    <row r="47" customFormat="false" ht="15" hidden="false" customHeight="false" outlineLevel="0" collapsed="false">
      <c r="A47" s="4" t="s">
        <v>130</v>
      </c>
      <c r="C47" s="8" t="n">
        <f aca="false">Historicals!K10</f>
        <v>4</v>
      </c>
      <c r="D47" s="8" t="n">
        <f aca="false">Historicals!H10</f>
        <v>12</v>
      </c>
      <c r="E47" s="8" t="n">
        <f aca="false">Historicals!I10</f>
        <v>10</v>
      </c>
      <c r="F47" s="8" t="n">
        <f aca="false">Historicals!J10</f>
        <v>28</v>
      </c>
      <c r="G47" s="7" t="n">
        <f aca="false">SUM(C47:F47)</f>
        <v>54</v>
      </c>
      <c r="H47" s="8" t="n">
        <f aca="false">SUM(Historicals!G10:J10)</f>
        <v>51</v>
      </c>
    </row>
    <row r="48" customFormat="false" ht="15" hidden="false" customHeight="false" outlineLevel="0" collapsed="false">
      <c r="A48" s="13" t="s">
        <v>131</v>
      </c>
      <c r="C48" s="26" t="n">
        <f aca="false">SUM(C42:C47)</f>
        <v>11213</v>
      </c>
      <c r="D48" s="26" t="n">
        <f aca="false">SUM(D42:D47)</f>
        <v>10874.78</v>
      </c>
      <c r="E48" s="26" t="n">
        <f aca="false">SUM(E42:E47)</f>
        <v>9814.94</v>
      </c>
      <c r="F48" s="26" t="n">
        <f aca="false">SUM(F42:F47)</f>
        <v>9602.39</v>
      </c>
      <c r="G48" s="7" t="n">
        <f aca="false">SUM(C48:F48)</f>
        <v>41505.11</v>
      </c>
      <c r="H48" s="8" t="n">
        <f aca="false">SUM(Historicals!G11:J11)</f>
        <v>46398</v>
      </c>
      <c r="I48" s="15" t="n">
        <f aca="false">H48</f>
        <v>46398</v>
      </c>
    </row>
    <row r="49" customFormat="false" ht="15" hidden="false" customHeight="false" outlineLevel="0" collapsed="false">
      <c r="A49" s="4" t="s">
        <v>132</v>
      </c>
      <c r="C49" s="24" t="n">
        <f aca="false">C48/Historicals!G11-1</f>
        <v>-0.043259385665529</v>
      </c>
      <c r="D49" s="24" t="n">
        <f aca="false">D48/Historicals!H11-1</f>
        <v>-0.12490705721413</v>
      </c>
      <c r="E49" s="24" t="n">
        <f aca="false">E48/Historicals!I11-1</f>
        <v>-0.129804060643674</v>
      </c>
      <c r="F49" s="24" t="n">
        <f aca="false">F48/Historicals!J11-1</f>
        <v>-0.124827743346701</v>
      </c>
      <c r="G49" s="9" t="n">
        <f aca="false">G48/H48-1</f>
        <v>-0.105454760981077</v>
      </c>
    </row>
    <row r="50" customFormat="false" ht="15" hidden="false" customHeight="false" outlineLevel="0" collapsed="false">
      <c r="A50" s="4" t="s">
        <v>166</v>
      </c>
      <c r="C50" s="24" t="n">
        <f aca="false">C51/C48</f>
        <v>0.427896191920093</v>
      </c>
      <c r="D50" s="24" t="n">
        <f aca="false">Inputs!$E$13</f>
        <v>0.4</v>
      </c>
      <c r="E50" s="24" t="n">
        <f aca="false">Inputs!$E$13</f>
        <v>0.4</v>
      </c>
      <c r="F50" s="24" t="n">
        <f aca="false">Inputs!$E$13</f>
        <v>0.4</v>
      </c>
      <c r="G50" s="9" t="n">
        <f aca="false">G51/G48</f>
        <v>0.407536421418953</v>
      </c>
      <c r="H50" s="24" t="n">
        <f aca="false">H51/H48</f>
        <v>0.429134876503298</v>
      </c>
      <c r="I50" s="24" t="n">
        <f aca="false">I51/I48</f>
        <v>0.40788396051554</v>
      </c>
    </row>
    <row r="51" customFormat="false" ht="15" hidden="false" customHeight="false" outlineLevel="0" collapsed="false">
      <c r="A51" s="4" t="s">
        <v>167</v>
      </c>
      <c r="C51" s="8" t="n">
        <f aca="false">Historicals!K23</f>
        <v>4798</v>
      </c>
      <c r="D51" s="15" t="n">
        <f aca="false">D48*D50</f>
        <v>4349.912</v>
      </c>
      <c r="E51" s="15" t="n">
        <f aca="false">E48*E50</f>
        <v>3925.976</v>
      </c>
      <c r="F51" s="15" t="n">
        <f aca="false">F48*F50</f>
        <v>3840.956</v>
      </c>
      <c r="G51" s="7" t="n">
        <f aca="false">SUM(C51:F51)</f>
        <v>16914.844</v>
      </c>
      <c r="H51" s="8" t="n">
        <f aca="false">SUM(Historicals!G23:J23)</f>
        <v>19911</v>
      </c>
      <c r="I51" s="15" t="n">
        <f aca="false">H51-Historicals!J24</f>
        <v>18925</v>
      </c>
    </row>
    <row r="52" customFormat="false" ht="15" hidden="false" customHeight="false" outlineLevel="0" collapsed="false">
      <c r="A52" s="4" t="s">
        <v>141</v>
      </c>
      <c r="C52" s="8" t="n">
        <f aca="false">Historicals!K29</f>
        <v>1252</v>
      </c>
      <c r="D52" s="15" t="n">
        <f aca="false">D48*Inputs!$E$14</f>
        <v>1217.97536</v>
      </c>
      <c r="E52" s="15" t="n">
        <f aca="false">E48*Inputs!$E$14</f>
        <v>1099.27328</v>
      </c>
      <c r="F52" s="15" t="n">
        <f aca="false">F48*Inputs!$E$14</f>
        <v>1075.46768</v>
      </c>
      <c r="G52" s="7" t="n">
        <f aca="false">SUM(C52:F52)</f>
        <v>4644.71632</v>
      </c>
      <c r="H52" s="8" t="n">
        <f aca="false">SUM(Historicals!G29:J29)</f>
        <v>4754</v>
      </c>
    </row>
    <row r="53" customFormat="false" ht="15" hidden="false" customHeight="false" outlineLevel="0" collapsed="false">
      <c r="A53" s="4" t="s">
        <v>142</v>
      </c>
      <c r="C53" s="8" t="n">
        <f aca="false">Historicals!K31</f>
        <v>2658</v>
      </c>
      <c r="D53" s="15" t="n">
        <f aca="false">Historicals!H31*(1+Inputs!$E$15)</f>
        <v>2710.68</v>
      </c>
      <c r="E53" s="15" t="n">
        <f aca="false">Historicals!I31*(1+Inputs!$E$15)</f>
        <v>2829.26</v>
      </c>
      <c r="F53" s="15" t="n">
        <f aca="false">Historicals!J31*(1+Inputs!$E$15)</f>
        <v>2821.42</v>
      </c>
      <c r="G53" s="7" t="n">
        <f aca="false">SUM(C53:F53)</f>
        <v>11019.36</v>
      </c>
      <c r="H53" s="8" t="n">
        <f aca="false">SUM(Historicals!G31:J31)</f>
        <v>11360</v>
      </c>
    </row>
    <row r="54" customFormat="false" ht="15" hidden="false" customHeight="false" outlineLevel="0" collapsed="false">
      <c r="A54" s="13" t="s">
        <v>168</v>
      </c>
      <c r="C54" s="26" t="n">
        <f aca="false">C51-C52-C53</f>
        <v>888</v>
      </c>
      <c r="D54" s="26" t="n">
        <f aca="false">D51-D52-D53</f>
        <v>421.25664</v>
      </c>
      <c r="E54" s="26" t="n">
        <f aca="false">E51-E52-E53</f>
        <v>-2.55727999999954</v>
      </c>
      <c r="F54" s="26" t="n">
        <f aca="false">F51-F52-F53</f>
        <v>-55.9316799999997</v>
      </c>
      <c r="G54" s="7" t="n">
        <f aca="false">SUM(C54:F54)</f>
        <v>1250.76768</v>
      </c>
      <c r="H54" s="8" t="n">
        <f aca="false">SUM(Historicals!G33:J33)</f>
        <v>3797</v>
      </c>
      <c r="I54" s="15" t="n">
        <f aca="false">H54-Historicals!J24</f>
        <v>2811</v>
      </c>
    </row>
    <row r="55" customFormat="false" ht="15" hidden="false" customHeight="false" outlineLevel="0" collapsed="false">
      <c r="A55" s="4" t="s">
        <v>169</v>
      </c>
      <c r="C55" s="24" t="n">
        <f aca="false">C54/C48</f>
        <v>0.0791937929189334</v>
      </c>
      <c r="D55" s="24" t="n">
        <f aca="false">D54/D48</f>
        <v>0.0387370264042123</v>
      </c>
      <c r="E55" s="24" t="n">
        <f aca="false">E54/E48</f>
        <v>-0.000260549733365618</v>
      </c>
      <c r="F55" s="24" t="n">
        <f aca="false">F54/F48</f>
        <v>-0.00582476654249616</v>
      </c>
      <c r="G55" s="9" t="n">
        <f aca="false">G54/G48</f>
        <v>0.0301352696089711</v>
      </c>
      <c r="H55" s="24" t="n">
        <f aca="false">H54/H48</f>
        <v>0.0818354239406871</v>
      </c>
      <c r="I55" s="24" t="n">
        <f aca="false">I54/I48</f>
        <v>0.060584507952929</v>
      </c>
    </row>
    <row r="60" customFormat="false" ht="15" hidden="false" customHeight="false" outlineLevel="0" collapsed="false">
      <c r="A60" s="3" t="s">
        <v>155</v>
      </c>
    </row>
    <row r="61" customFormat="false" ht="15" hidden="false" customHeight="false" outlineLevel="0" collapsed="false">
      <c r="A61" s="2" t="s">
        <v>172</v>
      </c>
    </row>
    <row r="62" customFormat="false" ht="15" hidden="false" customHeight="false" outlineLevel="0" collapsed="false">
      <c r="A62" s="2" t="s">
        <v>173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0"/>
    <col collapsed="false" customWidth="true" hidden="false" outlineLevel="0" max="4" min="3" style="0" width="22"/>
    <col collapsed="false" customWidth="true" hidden="false" outlineLevel="0" max="5" min="5" style="0" width="20"/>
    <col collapsed="false" customWidth="true" hidden="false" outlineLevel="0" max="6" min="6" style="0" width="28"/>
  </cols>
  <sheetData>
    <row r="1" customFormat="false" ht="19.7" hidden="false" customHeight="false" outlineLevel="0" collapsed="false">
      <c r="A1" s="1" t="s">
        <v>174</v>
      </c>
    </row>
    <row r="2" customFormat="false" ht="15" hidden="false" customHeight="false" outlineLevel="0" collapsed="false">
      <c r="A2" s="2" t="s">
        <v>175</v>
      </c>
    </row>
    <row r="4" customFormat="false" ht="15" hidden="false" customHeight="false" outlineLevel="0" collapsed="false">
      <c r="A4" s="5" t="s">
        <v>115</v>
      </c>
      <c r="B4" s="6" t="s">
        <v>176</v>
      </c>
      <c r="C4" s="6" t="s">
        <v>177</v>
      </c>
    </row>
    <row r="5" customFormat="false" ht="15" hidden="false" customHeight="false" outlineLevel="0" collapsed="false">
      <c r="A5" s="4" t="s">
        <v>178</v>
      </c>
      <c r="B5" s="8" t="n">
        <f aca="false">SUM(Historicals!G11:J11)</f>
        <v>46398</v>
      </c>
      <c r="C5" s="15" t="n">
        <f aca="false">B5</f>
        <v>46398</v>
      </c>
    </row>
    <row r="6" customFormat="false" ht="15" hidden="false" customHeight="false" outlineLevel="0" collapsed="false">
      <c r="A6" s="4" t="s">
        <v>179</v>
      </c>
      <c r="B6" s="10" t="n">
        <f aca="false">Inputs!$C$19</f>
        <v>-0.09</v>
      </c>
      <c r="C6" s="10" t="n">
        <f aca="false">Inputs!$D$19</f>
        <v>-0.07</v>
      </c>
    </row>
    <row r="7" customFormat="false" ht="15" hidden="false" customHeight="false" outlineLevel="0" collapsed="false">
      <c r="A7" s="4" t="s">
        <v>180</v>
      </c>
      <c r="B7" s="15" t="n">
        <f aca="false">B5*(1+B6)</f>
        <v>42222.18</v>
      </c>
      <c r="C7" s="15" t="n">
        <f aca="false">C5*(1+C6)</f>
        <v>43150.14</v>
      </c>
    </row>
    <row r="8" customFormat="false" ht="15" hidden="false" customHeight="false" outlineLevel="0" collapsed="false">
      <c r="A8" s="4" t="s">
        <v>181</v>
      </c>
      <c r="B8" s="8" t="n">
        <f aca="false">Historicals!K11</f>
        <v>11213</v>
      </c>
      <c r="C8" s="15" t="n">
        <f aca="false">B8</f>
        <v>11213</v>
      </c>
    </row>
    <row r="9" customFormat="false" ht="15" hidden="false" customHeight="false" outlineLevel="0" collapsed="false">
      <c r="A9" s="4" t="s">
        <v>182</v>
      </c>
      <c r="B9" s="26" t="n">
        <f aca="false">B7-B8</f>
        <v>31009.18</v>
      </c>
      <c r="C9" s="26" t="n">
        <f aca="false">C7-C8</f>
        <v>31937.14</v>
      </c>
    </row>
    <row r="10" customFormat="false" ht="15" hidden="false" customHeight="false" outlineLevel="0" collapsed="false">
      <c r="A10" s="4" t="s">
        <v>183</v>
      </c>
      <c r="B10" s="8" t="n">
        <f aca="false">SUM(Historicals!H11:J11)</f>
        <v>34678</v>
      </c>
      <c r="C10" s="15" t="n">
        <f aca="false">B10</f>
        <v>34678</v>
      </c>
    </row>
    <row r="11" customFormat="false" ht="15" hidden="false" customHeight="false" outlineLevel="0" collapsed="false">
      <c r="A11" s="4" t="s">
        <v>184</v>
      </c>
      <c r="B11" s="9" t="n">
        <f aca="false">B9/B10-1</f>
        <v>-0.105796758751947</v>
      </c>
      <c r="C11" s="9" t="n">
        <f aca="false">C9/C10-1</f>
        <v>-0.0790374300709383</v>
      </c>
    </row>
    <row r="12" customFormat="false" ht="15" hidden="false" customHeight="false" outlineLevel="0" collapsed="false">
      <c r="A12" s="4" t="s">
        <v>185</v>
      </c>
      <c r="B12" s="10" t="n">
        <f aca="false">Historicals!K13</f>
        <v>-0.043259385665529</v>
      </c>
    </row>
    <row r="14" customFormat="false" ht="15" hidden="false" customHeight="false" outlineLevel="0" collapsed="false">
      <c r="A14" s="5" t="s">
        <v>186</v>
      </c>
      <c r="B14" s="6" t="s">
        <v>34</v>
      </c>
      <c r="C14" s="6" t="s">
        <v>38</v>
      </c>
      <c r="D14" s="6" t="s">
        <v>36</v>
      </c>
      <c r="E14" s="6" t="s">
        <v>187</v>
      </c>
      <c r="F14" s="6" t="s">
        <v>188</v>
      </c>
    </row>
    <row r="15" customFormat="false" ht="15" hidden="false" customHeight="false" outlineLevel="0" collapsed="false">
      <c r="A15" s="4" t="s">
        <v>30</v>
      </c>
      <c r="B15" s="10" t="n">
        <f aca="false">Forecast!G13</f>
        <v>-0.0775227380490541</v>
      </c>
      <c r="C15" s="13" t="str">
        <f aca="false">IF(AND(B15&gt;=Inputs!$C$19,B15&lt;=Inputs!$D$19),"Yes",IF(B15&gt;Inputs!$D$19,"Above guidance","Below guidance"))</f>
        <v>Yes</v>
      </c>
      <c r="D15" s="8" t="n">
        <f aca="false">Forecast!G18</f>
        <v>2394.8267</v>
      </c>
      <c r="E15" s="24" t="n">
        <f aca="false">Forecast!G18/Forecast!I18-1</f>
        <v>-0.148051689790111</v>
      </c>
      <c r="F15" s="13" t="str">
        <f aca="false">IF(E15&lt;B15,"Yes","No")</f>
        <v>Yes</v>
      </c>
    </row>
    <row r="16" customFormat="false" ht="15" hidden="false" customHeight="false" outlineLevel="0" collapsed="false">
      <c r="A16" s="4" t="s">
        <v>189</v>
      </c>
      <c r="B16" s="10" t="n">
        <f aca="false">Forecast!G31</f>
        <v>-0.0409215914479072</v>
      </c>
      <c r="C16" s="13" t="str">
        <f aca="false">IF(AND(B16&gt;=Inputs!$C$19,B16&lt;=Inputs!$D$19),"Yes",IF(B16&gt;Inputs!$D$19,"Above guidance","Below guidance"))</f>
        <v>Above guidance</v>
      </c>
      <c r="D16" s="8" t="n">
        <f aca="false">Forecast!G36</f>
        <v>3267.7908</v>
      </c>
      <c r="E16" s="24" t="n">
        <f aca="false">Forecast!G36/Forecast!I36-1</f>
        <v>0.162501173959445</v>
      </c>
      <c r="F16" s="13" t="str">
        <f aca="false">IF(E16&lt;B16,"Yes","No")</f>
        <v>No</v>
      </c>
    </row>
    <row r="17" customFormat="false" ht="15" hidden="false" customHeight="false" outlineLevel="0" collapsed="false">
      <c r="A17" s="4" t="s">
        <v>190</v>
      </c>
      <c r="B17" s="10" t="n">
        <f aca="false">Forecast!G49</f>
        <v>-0.105454760981077</v>
      </c>
      <c r="C17" s="13" t="str">
        <f aca="false">IF(AND(B17&gt;=Inputs!$C$19,B17&lt;=Inputs!$D$19),"Yes",IF(B17&gt;Inputs!$D$19,"Above guidance","Below guidance"))</f>
        <v>Below guidance</v>
      </c>
      <c r="D17" s="8" t="n">
        <f aca="false">Forecast!G54</f>
        <v>1250.76768</v>
      </c>
      <c r="E17" s="24" t="n">
        <f aca="false">Forecast!G54/Forecast!I54-1</f>
        <v>-0.555045293489861</v>
      </c>
      <c r="F17" s="13" t="str">
        <f aca="false">IF(E17&lt;B17,"Yes","No")</f>
        <v>Yes</v>
      </c>
    </row>
    <row r="19" customFormat="false" ht="15" hidden="false" customHeight="false" outlineLevel="0" collapsed="false">
      <c r="A19" s="2" t="s">
        <v>191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10" min="2" style="0" width="10"/>
  </cols>
  <sheetData>
    <row r="1" customFormat="false" ht="19.7" hidden="false" customHeight="false" outlineLevel="0" collapsed="false">
      <c r="A1" s="1" t="s">
        <v>192</v>
      </c>
    </row>
    <row r="2" customFormat="false" ht="15" hidden="false" customHeight="false" outlineLevel="0" collapsed="false">
      <c r="A2" s="2" t="s">
        <v>193</v>
      </c>
    </row>
    <row r="4" customFormat="false" ht="15" hidden="false" customHeight="false" outlineLevel="0" collapsed="false">
      <c r="A4" s="4" t="s">
        <v>194</v>
      </c>
      <c r="C4" s="8" t="n">
        <f aca="false">SUM(Forecast!D12:F12)</f>
        <v>31588.1</v>
      </c>
    </row>
    <row r="5" customFormat="false" ht="15" hidden="false" customHeight="false" outlineLevel="0" collapsed="false">
      <c r="A5" s="4" t="s">
        <v>195</v>
      </c>
      <c r="C5" s="10" t="n">
        <f aca="false">Inputs!$C$10</f>
        <v>-0.2</v>
      </c>
    </row>
    <row r="6" customFormat="false" ht="15" hidden="false" customHeight="false" outlineLevel="0" collapsed="false">
      <c r="A6" s="4" t="s">
        <v>196</v>
      </c>
      <c r="C6" s="8" t="n">
        <f aca="false">SUM(Historicals!H7:J7)</f>
        <v>4335</v>
      </c>
    </row>
    <row r="7" customFormat="false" ht="15" hidden="false" customHeight="false" outlineLevel="0" collapsed="false">
      <c r="A7" s="4" t="s">
        <v>197</v>
      </c>
      <c r="C7" s="8" t="n">
        <f aca="false">Forecast!C18</f>
        <v>888</v>
      </c>
    </row>
    <row r="8" customFormat="false" ht="15" hidden="false" customHeight="false" outlineLevel="0" collapsed="false">
      <c r="A8" s="4" t="s">
        <v>198</v>
      </c>
      <c r="C8" s="10" t="n">
        <f aca="false">Inputs!$C$14</f>
        <v>0.108</v>
      </c>
    </row>
    <row r="9" customFormat="false" ht="15" hidden="false" customHeight="false" outlineLevel="0" collapsed="false">
      <c r="A9" s="4" t="s">
        <v>199</v>
      </c>
      <c r="C9" s="8" t="n">
        <f aca="false">SUM(Forecast!D17:F17)</f>
        <v>8190.72</v>
      </c>
    </row>
    <row r="11" customFormat="false" ht="15" hidden="false" customHeight="false" outlineLevel="0" collapsed="false">
      <c r="A11" s="3" t="s">
        <v>200</v>
      </c>
    </row>
    <row r="12" customFormat="false" ht="15" hidden="false" customHeight="false" outlineLevel="0" collapsed="false">
      <c r="A12" s="2" t="s">
        <v>201</v>
      </c>
      <c r="C12" s="27" t="n">
        <v>0.395</v>
      </c>
      <c r="D12" s="27" t="n">
        <v>0.4</v>
      </c>
      <c r="E12" s="27" t="n">
        <v>0.405</v>
      </c>
      <c r="F12" s="27" t="n">
        <v>0.41</v>
      </c>
      <c r="G12" s="27" t="n">
        <v>0.415</v>
      </c>
      <c r="H12" s="27" t="n">
        <v>0.42</v>
      </c>
      <c r="I12" s="27" t="n">
        <v>0.425</v>
      </c>
      <c r="J12" s="27" t="n">
        <v>0.43</v>
      </c>
    </row>
    <row r="13" customFormat="false" ht="15" hidden="false" customHeight="false" outlineLevel="0" collapsed="false">
      <c r="B13" s="27" t="n">
        <v>-0.35</v>
      </c>
      <c r="C13" s="15" t="n">
        <f aca="false">$C$7+($C$4+($B13-$C$5)*$C$6)*(C$12-$C$8)-$C$9</f>
        <v>1576.44295</v>
      </c>
      <c r="D13" s="15" t="n">
        <f aca="false">$C$7+($C$4+($B13-$C$5)*$C$6)*(D$12-$C$8)-$C$9</f>
        <v>1731.1322</v>
      </c>
      <c r="E13" s="15" t="n">
        <f aca="false">$C$7+($C$4+($B13-$C$5)*$C$6)*(E$12-$C$8)-$C$9</f>
        <v>1885.82145</v>
      </c>
      <c r="F13" s="15" t="n">
        <f aca="false">$C$7+($C$4+($B13-$C$5)*$C$6)*(F$12-$C$8)-$C$9</f>
        <v>2040.5107</v>
      </c>
      <c r="G13" s="15" t="n">
        <f aca="false">$C$7+($C$4+($B13-$C$5)*$C$6)*(G$12-$C$8)-$C$9</f>
        <v>2195.19995</v>
      </c>
      <c r="H13" s="15" t="n">
        <f aca="false">$C$7+($C$4+($B13-$C$5)*$C$6)*(H$12-$C$8)-$C$9</f>
        <v>2349.8892</v>
      </c>
      <c r="I13" s="15" t="n">
        <f aca="false">$C$7+($C$4+($B13-$C$5)*$C$6)*(I$12-$C$8)-$C$9</f>
        <v>2504.57845</v>
      </c>
      <c r="J13" s="15" t="n">
        <f aca="false">$C$7+($C$4+($B13-$C$5)*$C$6)*(J$12-$C$8)-$C$9</f>
        <v>2659.2677</v>
      </c>
    </row>
    <row r="14" customFormat="false" ht="15" hidden="false" customHeight="false" outlineLevel="0" collapsed="false">
      <c r="B14" s="27" t="n">
        <v>-0.28</v>
      </c>
      <c r="C14" s="15" t="n">
        <f aca="false">$C$7+($C$4+($B14-$C$5)*$C$6)*(C$12-$C$8)-$C$9</f>
        <v>1663.5331</v>
      </c>
      <c r="D14" s="15" t="n">
        <f aca="false">$C$7+($C$4+($B14-$C$5)*$C$6)*(D$12-$C$8)-$C$9</f>
        <v>1819.7396</v>
      </c>
      <c r="E14" s="15" t="n">
        <f aca="false">$C$7+($C$4+($B14-$C$5)*$C$6)*(E$12-$C$8)-$C$9</f>
        <v>1975.9461</v>
      </c>
      <c r="F14" s="15" t="n">
        <f aca="false">$C$7+($C$4+($B14-$C$5)*$C$6)*(F$12-$C$8)-$C$9</f>
        <v>2132.1526</v>
      </c>
      <c r="G14" s="15" t="n">
        <f aca="false">$C$7+($C$4+($B14-$C$5)*$C$6)*(G$12-$C$8)-$C$9</f>
        <v>2288.3591</v>
      </c>
      <c r="H14" s="15" t="n">
        <f aca="false">$C$7+($C$4+($B14-$C$5)*$C$6)*(H$12-$C$8)-$C$9</f>
        <v>2444.5656</v>
      </c>
      <c r="I14" s="15" t="n">
        <f aca="false">$C$7+($C$4+($B14-$C$5)*$C$6)*(I$12-$C$8)-$C$9</f>
        <v>2600.7721</v>
      </c>
      <c r="J14" s="15" t="n">
        <f aca="false">$C$7+($C$4+($B14-$C$5)*$C$6)*(J$12-$C$8)-$C$9</f>
        <v>2756.9786</v>
      </c>
    </row>
    <row r="15" customFormat="false" ht="15" hidden="false" customHeight="false" outlineLevel="0" collapsed="false">
      <c r="B15" s="27" t="n">
        <v>-0.2</v>
      </c>
      <c r="C15" s="15" t="n">
        <f aca="false">$C$7+($C$4+($B15-$C$5)*$C$6)*(C$12-$C$8)-$C$9</f>
        <v>1763.0647</v>
      </c>
      <c r="D15" s="15" t="n">
        <f aca="false">$C$7+($C$4+($B15-$C$5)*$C$6)*(D$12-$C$8)-$C$9</f>
        <v>1921.0052</v>
      </c>
      <c r="E15" s="15" t="n">
        <f aca="false">$C$7+($C$4+($B15-$C$5)*$C$6)*(E$12-$C$8)-$C$9</f>
        <v>2078.9457</v>
      </c>
      <c r="F15" s="15" t="n">
        <f aca="false">$C$7+($C$4+($B15-$C$5)*$C$6)*(F$12-$C$8)-$C$9</f>
        <v>2236.8862</v>
      </c>
      <c r="G15" s="28" t="n">
        <f aca="false">$C$7+($C$4+($B15-$C$5)*$C$6)*(G$12-$C$8)-$C$9</f>
        <v>2394.8267</v>
      </c>
      <c r="H15" s="15" t="n">
        <f aca="false">$C$7+($C$4+($B15-$C$5)*$C$6)*(H$12-$C$8)-$C$9</f>
        <v>2552.7672</v>
      </c>
      <c r="I15" s="15" t="n">
        <f aca="false">$C$7+($C$4+($B15-$C$5)*$C$6)*(I$12-$C$8)-$C$9</f>
        <v>2710.7077</v>
      </c>
      <c r="J15" s="15" t="n">
        <f aca="false">$C$7+($C$4+($B15-$C$5)*$C$6)*(J$12-$C$8)-$C$9</f>
        <v>2868.6482</v>
      </c>
    </row>
    <row r="16" customFormat="false" ht="15" hidden="false" customHeight="false" outlineLevel="0" collapsed="false">
      <c r="B16" s="27" t="n">
        <v>-0.12</v>
      </c>
      <c r="C16" s="15" t="n">
        <f aca="false">$C$7+($C$4+($B16-$C$5)*$C$6)*(C$12-$C$8)-$C$9</f>
        <v>1862.5963</v>
      </c>
      <c r="D16" s="15" t="n">
        <f aca="false">$C$7+($C$4+($B16-$C$5)*$C$6)*(D$12-$C$8)-$C$9</f>
        <v>2022.2708</v>
      </c>
      <c r="E16" s="15" t="n">
        <f aca="false">$C$7+($C$4+($B16-$C$5)*$C$6)*(E$12-$C$8)-$C$9</f>
        <v>2181.9453</v>
      </c>
      <c r="F16" s="15" t="n">
        <f aca="false">$C$7+($C$4+($B16-$C$5)*$C$6)*(F$12-$C$8)-$C$9</f>
        <v>2341.6198</v>
      </c>
      <c r="G16" s="15" t="n">
        <f aca="false">$C$7+($C$4+($B16-$C$5)*$C$6)*(G$12-$C$8)-$C$9</f>
        <v>2501.2943</v>
      </c>
      <c r="H16" s="15" t="n">
        <f aca="false">$C$7+($C$4+($B16-$C$5)*$C$6)*(H$12-$C$8)-$C$9</f>
        <v>2660.9688</v>
      </c>
      <c r="I16" s="15" t="n">
        <f aca="false">$C$7+($C$4+($B16-$C$5)*$C$6)*(I$12-$C$8)-$C$9</f>
        <v>2820.6433</v>
      </c>
      <c r="J16" s="15" t="n">
        <f aca="false">$C$7+($C$4+($B16-$C$5)*$C$6)*(J$12-$C$8)-$C$9</f>
        <v>2980.3178</v>
      </c>
    </row>
    <row r="17" customFormat="false" ht="15" hidden="false" customHeight="false" outlineLevel="0" collapsed="false">
      <c r="B17" s="27" t="n">
        <v>-0.05</v>
      </c>
      <c r="C17" s="15" t="n">
        <f aca="false">$C$7+($C$4+($B17-$C$5)*$C$6)*(C$12-$C$8)-$C$9</f>
        <v>1949.68645</v>
      </c>
      <c r="D17" s="15" t="n">
        <f aca="false">$C$7+($C$4+($B17-$C$5)*$C$6)*(D$12-$C$8)-$C$9</f>
        <v>2110.8782</v>
      </c>
      <c r="E17" s="15" t="n">
        <f aca="false">$C$7+($C$4+($B17-$C$5)*$C$6)*(E$12-$C$8)-$C$9</f>
        <v>2272.06995</v>
      </c>
      <c r="F17" s="15" t="n">
        <f aca="false">$C$7+($C$4+($B17-$C$5)*$C$6)*(F$12-$C$8)-$C$9</f>
        <v>2433.2617</v>
      </c>
      <c r="G17" s="15" t="n">
        <f aca="false">$C$7+($C$4+($B17-$C$5)*$C$6)*(G$12-$C$8)-$C$9</f>
        <v>2594.45345</v>
      </c>
      <c r="H17" s="15" t="n">
        <f aca="false">$C$7+($C$4+($B17-$C$5)*$C$6)*(H$12-$C$8)-$C$9</f>
        <v>2755.6452</v>
      </c>
      <c r="I17" s="15" t="n">
        <f aca="false">$C$7+($C$4+($B17-$C$5)*$C$6)*(I$12-$C$8)-$C$9</f>
        <v>2916.83695</v>
      </c>
      <c r="J17" s="15" t="n">
        <f aca="false">$C$7+($C$4+($B17-$C$5)*$C$6)*(J$12-$C$8)-$C$9</f>
        <v>3078.0287</v>
      </c>
    </row>
    <row r="18" customFormat="false" ht="15" hidden="false" customHeight="false" outlineLevel="0" collapsed="false">
      <c r="B18" s="27" t="n">
        <v>0</v>
      </c>
      <c r="C18" s="15" t="n">
        <f aca="false">$C$7+($C$4+($B18-$C$5)*$C$6)*(C$12-$C$8)-$C$9</f>
        <v>2011.8937</v>
      </c>
      <c r="D18" s="15" t="n">
        <f aca="false">$C$7+($C$4+($B18-$C$5)*$C$6)*(D$12-$C$8)-$C$9</f>
        <v>2174.1692</v>
      </c>
      <c r="E18" s="15" t="n">
        <f aca="false">$C$7+($C$4+($B18-$C$5)*$C$6)*(E$12-$C$8)-$C$9</f>
        <v>2336.4447</v>
      </c>
      <c r="F18" s="15" t="n">
        <f aca="false">$C$7+($C$4+($B18-$C$5)*$C$6)*(F$12-$C$8)-$C$9</f>
        <v>2498.7202</v>
      </c>
      <c r="G18" s="15" t="n">
        <f aca="false">$C$7+($C$4+($B18-$C$5)*$C$6)*(G$12-$C$8)-$C$9</f>
        <v>2660.9957</v>
      </c>
      <c r="H18" s="15" t="n">
        <f aca="false">$C$7+($C$4+($B18-$C$5)*$C$6)*(H$12-$C$8)-$C$9</f>
        <v>2823.2712</v>
      </c>
      <c r="I18" s="15" t="n">
        <f aca="false">$C$7+($C$4+($B18-$C$5)*$C$6)*(I$12-$C$8)-$C$9</f>
        <v>2985.5467</v>
      </c>
      <c r="J18" s="15" t="n">
        <f aca="false">$C$7+($C$4+($B18-$C$5)*$C$6)*(J$12-$C$8)-$C$9</f>
        <v>3147.8222</v>
      </c>
    </row>
    <row r="20" customFormat="false" ht="15" hidden="false" customHeight="false" outlineLevel="0" collapsed="false">
      <c r="A20" s="2" t="s">
        <v>202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2026-11-04T14:05:13Z</dcterms:created>
  <dc:creator>openpyxl</dc:creator>
  <dc:description/>
  <dc:language>en-US</dc:language>
  <cp:lastModifiedBy/>
  <dcterms:modified xsi:type="dcterms:W3CDTF">2026-11-04T06:05:14Z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